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1840" windowHeight="12570" activeTab="1"/>
  </bookViews>
  <sheets>
    <sheet name="PREV2020 " sheetId="15" r:id="rId1"/>
    <sheet name="2020" sheetId="16" r:id="rId2"/>
    <sheet name="Facolass.20" sheetId="17" r:id="rId3"/>
    <sheet name="IMPORT. ARRETR. CCNL 21-05-IP1" sheetId="18" r:id="rId4"/>
    <sheet name="CALCOLO VAC. E PEREQ 2020" sheetId="19" r:id="rId5"/>
    <sheet name="RIEPILOGO BILANCIO 2020" sheetId="20" r:id="rId6"/>
    <sheet name="FES IPOTESI 2020" sheetId="21" r:id="rId7"/>
  </sheets>
  <externalReferences>
    <externalReference r:id="rId8"/>
    <externalReference r:id="rId9"/>
  </externalReferences>
  <definedNames>
    <definedName name="_xlnm._FilterDatabase" localSheetId="4" hidden="1">'CALCOLO VAC. E PEREQ 2020'!$A$2:$L$106</definedName>
    <definedName name="_xlnm._FilterDatabase" localSheetId="0" hidden="1">'PREV2020 '!$G$1:$G$265</definedName>
    <definedName name="_xlnm.Print_Area" localSheetId="1">'2020'!$A$1:$F$88</definedName>
    <definedName name="_xlnm.Print_Area" localSheetId="2">Facolass.20!$A$1:$O$128</definedName>
    <definedName name="_xlnm.Print_Area" localSheetId="0">'PREV2020 '!$A$1:$AJ$255</definedName>
    <definedName name="_xlnm.Print_Titles" localSheetId="0">'PREV2020 '!$1:$5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7" i="17"/>
  <c r="C119"/>
  <c r="M132" l="1"/>
  <c r="Q27" i="15" l="1"/>
  <c r="P27"/>
  <c r="J27"/>
  <c r="AC63" i="19"/>
  <c r="AC62"/>
  <c r="Q63"/>
  <c r="Q62"/>
  <c r="E63"/>
  <c r="E62"/>
  <c r="P124" i="15"/>
  <c r="O124"/>
  <c r="J124"/>
  <c r="AF18" i="18" l="1"/>
  <c r="AD18"/>
  <c r="Q119" i="15"/>
  <c r="P119"/>
  <c r="O119"/>
  <c r="J119"/>
  <c r="E54" i="19"/>
  <c r="Q54"/>
  <c r="AC54"/>
  <c r="J79" i="15"/>
  <c r="AE63" i="19"/>
  <c r="AJ63" s="1"/>
  <c r="AB63"/>
  <c r="O63"/>
  <c r="S63" s="1"/>
  <c r="I27" i="15" s="1"/>
  <c r="N63" i="19"/>
  <c r="M63"/>
  <c r="D63"/>
  <c r="G63" s="1"/>
  <c r="K27" i="15" l="1"/>
  <c r="T63" i="19"/>
  <c r="X63"/>
  <c r="W63"/>
  <c r="U63"/>
  <c r="I63"/>
  <c r="K63"/>
  <c r="H63"/>
  <c r="L63"/>
  <c r="P63"/>
  <c r="AF63"/>
  <c r="AI63"/>
  <c r="N79" i="15"/>
  <c r="P79"/>
  <c r="E89" i="19"/>
  <c r="Q89"/>
  <c r="AC89"/>
  <c r="AD23" i="18"/>
  <c r="AF23"/>
  <c r="P118" i="15" l="1"/>
  <c r="J117"/>
  <c r="F7" i="16" l="1"/>
  <c r="AG29" i="21"/>
  <c r="AG32" s="1"/>
  <c r="AG16"/>
  <c r="AC58" i="19"/>
  <c r="Q58"/>
  <c r="E58"/>
  <c r="AC59"/>
  <c r="Q59"/>
  <c r="E59"/>
  <c r="AC56"/>
  <c r="Q56"/>
  <c r="AC53"/>
  <c r="Q53"/>
  <c r="E56"/>
  <c r="E53"/>
  <c r="D37" i="16"/>
  <c r="P156" i="15" l="1"/>
  <c r="J156"/>
  <c r="P132"/>
  <c r="J132"/>
  <c r="O117"/>
  <c r="P117"/>
  <c r="P115"/>
  <c r="O115"/>
  <c r="J115"/>
  <c r="AC88" i="19" l="1"/>
  <c r="Q88"/>
  <c r="E88"/>
  <c r="P206" i="15"/>
  <c r="J206"/>
  <c r="Q40" l="1"/>
  <c r="S40" s="1"/>
  <c r="G151" i="17"/>
  <c r="B151"/>
  <c r="G144"/>
  <c r="B144"/>
  <c r="E119" i="16"/>
  <c r="F119" s="1"/>
  <c r="D117"/>
  <c r="D121" s="1"/>
  <c r="D111"/>
  <c r="F133" s="1"/>
  <c r="D130" l="1"/>
  <c r="D133" s="1"/>
  <c r="D123"/>
  <c r="E133"/>
  <c r="E123"/>
  <c r="R82" i="15" l="1"/>
  <c r="L82"/>
  <c r="M82"/>
  <c r="G142" i="17"/>
  <c r="B142"/>
  <c r="J192" i="15" l="1"/>
  <c r="J158"/>
  <c r="P28" l="1"/>
  <c r="J36"/>
  <c r="G140" i="17"/>
  <c r="B140"/>
  <c r="AB57" i="19"/>
  <c r="AE57" s="1"/>
  <c r="AJ57" s="1"/>
  <c r="N57"/>
  <c r="O57" s="1"/>
  <c r="M57"/>
  <c r="D57"/>
  <c r="G57" s="1"/>
  <c r="G138" i="17"/>
  <c r="B138"/>
  <c r="G136"/>
  <c r="B136"/>
  <c r="G134"/>
  <c r="B134"/>
  <c r="G132"/>
  <c r="B132"/>
  <c r="N121" i="15"/>
  <c r="P192"/>
  <c r="L208"/>
  <c r="M208"/>
  <c r="N208"/>
  <c r="O208"/>
  <c r="R208"/>
  <c r="T208"/>
  <c r="F103" i="16"/>
  <c r="E103"/>
  <c r="D100"/>
  <c r="D103" s="1"/>
  <c r="E89"/>
  <c r="F89" s="1"/>
  <c r="E93" s="1"/>
  <c r="D87"/>
  <c r="D91" s="1"/>
  <c r="D93" s="1"/>
  <c r="D16"/>
  <c r="G242" i="15"/>
  <c r="AB89" i="19"/>
  <c r="AE89" s="1"/>
  <c r="AJ89" s="1"/>
  <c r="N89"/>
  <c r="O89" s="1"/>
  <c r="P89" s="1"/>
  <c r="M89"/>
  <c r="D89"/>
  <c r="G89" s="1"/>
  <c r="O79" i="15"/>
  <c r="AI27" i="21"/>
  <c r="AF21" s="1"/>
  <c r="AI22" s="1"/>
  <c r="AM10"/>
  <c r="AM11"/>
  <c r="AM12"/>
  <c r="AK10"/>
  <c r="AK11"/>
  <c r="AK12"/>
  <c r="V30"/>
  <c r="U30"/>
  <c r="T30"/>
  <c r="S30"/>
  <c r="R30"/>
  <c r="Q30"/>
  <c r="P30"/>
  <c r="O30"/>
  <c r="N30"/>
  <c r="M30"/>
  <c r="L30"/>
  <c r="K30"/>
  <c r="E30"/>
  <c r="I28"/>
  <c r="H28"/>
  <c r="G28"/>
  <c r="X27"/>
  <c r="W27"/>
  <c r="J27"/>
  <c r="AD27" s="1"/>
  <c r="F27"/>
  <c r="X26"/>
  <c r="W26"/>
  <c r="J26"/>
  <c r="Z26" s="1"/>
  <c r="F26"/>
  <c r="X25"/>
  <c r="W25"/>
  <c r="J25"/>
  <c r="J28" s="1"/>
  <c r="F25"/>
  <c r="I23"/>
  <c r="H23"/>
  <c r="G23"/>
  <c r="X22"/>
  <c r="W22"/>
  <c r="J22"/>
  <c r="AD22" s="1"/>
  <c r="F22"/>
  <c r="X21"/>
  <c r="W21"/>
  <c r="J21"/>
  <c r="AB21" s="1"/>
  <c r="F21"/>
  <c r="X20"/>
  <c r="W20"/>
  <c r="J20"/>
  <c r="AB20" s="1"/>
  <c r="F20"/>
  <c r="X18"/>
  <c r="W18"/>
  <c r="J18"/>
  <c r="AB18" s="1"/>
  <c r="G18"/>
  <c r="X16"/>
  <c r="W16"/>
  <c r="J16"/>
  <c r="AB16" s="1"/>
  <c r="F16"/>
  <c r="X14"/>
  <c r="W14"/>
  <c r="J14"/>
  <c r="AB14" s="1"/>
  <c r="F14"/>
  <c r="X12"/>
  <c r="W12"/>
  <c r="J12"/>
  <c r="AB12" s="1"/>
  <c r="F12"/>
  <c r="G11"/>
  <c r="Z10"/>
  <c r="Z11" s="1"/>
  <c r="F10"/>
  <c r="AM9"/>
  <c r="AK9"/>
  <c r="I8"/>
  <c r="H8"/>
  <c r="G8"/>
  <c r="X7"/>
  <c r="W7"/>
  <c r="J7"/>
  <c r="AD7" s="1"/>
  <c r="F7"/>
  <c r="X6"/>
  <c r="W6"/>
  <c r="J6"/>
  <c r="AD6" s="1"/>
  <c r="F6"/>
  <c r="AK5"/>
  <c r="J5"/>
  <c r="AB5" s="1"/>
  <c r="AK4"/>
  <c r="J4"/>
  <c r="AB4" s="1"/>
  <c r="AM3"/>
  <c r="AK3"/>
  <c r="X3"/>
  <c r="W3"/>
  <c r="J3"/>
  <c r="F3"/>
  <c r="P57" i="19" l="1"/>
  <c r="C138" i="17"/>
  <c r="Y26" i="21"/>
  <c r="I57" i="19"/>
  <c r="K57"/>
  <c r="H57"/>
  <c r="L57"/>
  <c r="AF57"/>
  <c r="S57"/>
  <c r="AI57"/>
  <c r="AG22" i="21"/>
  <c r="X8"/>
  <c r="AH22"/>
  <c r="K79" i="15"/>
  <c r="L89" i="19"/>
  <c r="I89"/>
  <c r="K89"/>
  <c r="H89"/>
  <c r="S89"/>
  <c r="I79" i="15" s="1"/>
  <c r="Q79" s="1"/>
  <c r="AI89" i="19"/>
  <c r="AF89"/>
  <c r="J8" i="21"/>
  <c r="H30"/>
  <c r="Y25"/>
  <c r="W30"/>
  <c r="AB22"/>
  <c r="F30"/>
  <c r="G30"/>
  <c r="I30"/>
  <c r="Z18"/>
  <c r="Y22"/>
  <c r="AB25"/>
  <c r="AB26"/>
  <c r="AB23"/>
  <c r="Y3"/>
  <c r="AB3"/>
  <c r="AD4"/>
  <c r="AD5"/>
  <c r="Y6"/>
  <c r="AB6"/>
  <c r="Y7"/>
  <c r="AB7"/>
  <c r="Z12"/>
  <c r="AD12"/>
  <c r="Z14"/>
  <c r="AD14"/>
  <c r="Z16"/>
  <c r="AD16"/>
  <c r="AD18"/>
  <c r="Z20"/>
  <c r="AD20"/>
  <c r="Z21"/>
  <c r="AD21"/>
  <c r="Z22"/>
  <c r="J23"/>
  <c r="Y23" s="1"/>
  <c r="Z25"/>
  <c r="Z28" s="1"/>
  <c r="AD25"/>
  <c r="AD28" s="1"/>
  <c r="Y27"/>
  <c r="AB27"/>
  <c r="X30"/>
  <c r="Z3"/>
  <c r="AD3"/>
  <c r="Z6"/>
  <c r="Z7"/>
  <c r="Y12"/>
  <c r="Y14"/>
  <c r="Y16"/>
  <c r="Y18"/>
  <c r="Y20"/>
  <c r="Y21"/>
  <c r="Z27"/>
  <c r="AB28" l="1"/>
  <c r="AD8"/>
  <c r="T57" i="19"/>
  <c r="W57"/>
  <c r="U57"/>
  <c r="X57"/>
  <c r="Y28" i="21"/>
  <c r="AK22"/>
  <c r="W89" i="19"/>
  <c r="T89"/>
  <c r="X89"/>
  <c r="U89"/>
  <c r="Z8" i="21"/>
  <c r="AD23"/>
  <c r="AD30" s="1"/>
  <c r="AK31" s="1"/>
  <c r="Y8"/>
  <c r="J30"/>
  <c r="S228" i="15" s="1"/>
  <c r="S219" s="1"/>
  <c r="Z23" i="21"/>
  <c r="AB8"/>
  <c r="AB10" s="1"/>
  <c r="AB11" s="1"/>
  <c r="S79" i="15" l="1"/>
  <c r="AB30" i="21"/>
  <c r="Z30"/>
  <c r="Y30"/>
  <c r="AJ22" l="1"/>
  <c r="F44" i="20" l="1"/>
  <c r="F42"/>
  <c r="F41"/>
  <c r="F39"/>
  <c r="F37"/>
  <c r="F40" s="1"/>
  <c r="F36"/>
  <c r="P13" i="15"/>
  <c r="P36"/>
  <c r="P155"/>
  <c r="AB59" i="19"/>
  <c r="AB58"/>
  <c r="AB56"/>
  <c r="AB55"/>
  <c r="B118"/>
  <c r="A118"/>
  <c r="C118" s="1"/>
  <c r="D118" s="1"/>
  <c r="T107" i="15"/>
  <c r="L107"/>
  <c r="M107"/>
  <c r="N107"/>
  <c r="O107"/>
  <c r="P107"/>
  <c r="R107"/>
  <c r="N105" i="19"/>
  <c r="O105" s="1"/>
  <c r="N104"/>
  <c r="O104" s="1"/>
  <c r="N97"/>
  <c r="N98"/>
  <c r="N99"/>
  <c r="O99" s="1"/>
  <c r="N100"/>
  <c r="O100" s="1"/>
  <c r="N101"/>
  <c r="N102"/>
  <c r="N103"/>
  <c r="O103" s="1"/>
  <c r="N96"/>
  <c r="O96" s="1"/>
  <c r="N93"/>
  <c r="N94"/>
  <c r="O94" s="1"/>
  <c r="N95"/>
  <c r="O95" s="1"/>
  <c r="N92"/>
  <c r="O92" s="1"/>
  <c r="N91"/>
  <c r="N90"/>
  <c r="N88"/>
  <c r="O88" s="1"/>
  <c r="N87"/>
  <c r="O87" s="1"/>
  <c r="N85"/>
  <c r="N86"/>
  <c r="O86" s="1"/>
  <c r="S86" s="1"/>
  <c r="W86" s="1"/>
  <c r="N84"/>
  <c r="O84" s="1"/>
  <c r="N75"/>
  <c r="O75" s="1"/>
  <c r="N76"/>
  <c r="N77"/>
  <c r="N78"/>
  <c r="N79"/>
  <c r="O79" s="1"/>
  <c r="N80"/>
  <c r="N81"/>
  <c r="N82"/>
  <c r="N83"/>
  <c r="O83" s="1"/>
  <c r="N74"/>
  <c r="N70"/>
  <c r="N69"/>
  <c r="O69" s="1"/>
  <c r="N65"/>
  <c r="O65" s="1"/>
  <c r="N66"/>
  <c r="N67"/>
  <c r="N68"/>
  <c r="O68" s="1"/>
  <c r="N64"/>
  <c r="O64" s="1"/>
  <c r="N61"/>
  <c r="N62"/>
  <c r="O62" s="1"/>
  <c r="N60"/>
  <c r="N42"/>
  <c r="O42" s="1"/>
  <c r="N43"/>
  <c r="N44"/>
  <c r="N45"/>
  <c r="O45" s="1"/>
  <c r="N46"/>
  <c r="O46" s="1"/>
  <c r="N47"/>
  <c r="N48"/>
  <c r="N49"/>
  <c r="O49" s="1"/>
  <c r="N50"/>
  <c r="O50" s="1"/>
  <c r="N51"/>
  <c r="N52"/>
  <c r="N53"/>
  <c r="O53" s="1"/>
  <c r="N54"/>
  <c r="O54" s="1"/>
  <c r="N55"/>
  <c r="N56"/>
  <c r="N58"/>
  <c r="O58" s="1"/>
  <c r="N59"/>
  <c r="O59" s="1"/>
  <c r="N41"/>
  <c r="N40"/>
  <c r="N39"/>
  <c r="O39" s="1"/>
  <c r="N27"/>
  <c r="O27" s="1"/>
  <c r="N28"/>
  <c r="O28" s="1"/>
  <c r="N29"/>
  <c r="N30"/>
  <c r="O30" s="1"/>
  <c r="N31"/>
  <c r="O31" s="1"/>
  <c r="N32"/>
  <c r="O32" s="1"/>
  <c r="N33"/>
  <c r="N34"/>
  <c r="O34" s="1"/>
  <c r="N35"/>
  <c r="O35" s="1"/>
  <c r="N36"/>
  <c r="O36" s="1"/>
  <c r="N37"/>
  <c r="N38"/>
  <c r="O38" s="1"/>
  <c r="N26"/>
  <c r="O26" s="1"/>
  <c r="N21"/>
  <c r="N22"/>
  <c r="N23"/>
  <c r="O23" s="1"/>
  <c r="N24"/>
  <c r="O24" s="1"/>
  <c r="N25"/>
  <c r="N20"/>
  <c r="N17"/>
  <c r="N18"/>
  <c r="N19"/>
  <c r="N16"/>
  <c r="N13"/>
  <c r="N14"/>
  <c r="O14" s="1"/>
  <c r="N15"/>
  <c r="N12"/>
  <c r="N11"/>
  <c r="O11" s="1"/>
  <c r="N10"/>
  <c r="O10" s="1"/>
  <c r="N9"/>
  <c r="N6"/>
  <c r="N5"/>
  <c r="O5"/>
  <c r="O6"/>
  <c r="O9"/>
  <c r="O12"/>
  <c r="O13"/>
  <c r="O15"/>
  <c r="O16"/>
  <c r="O17"/>
  <c r="O18"/>
  <c r="O19"/>
  <c r="O20"/>
  <c r="O21"/>
  <c r="O22"/>
  <c r="O25"/>
  <c r="O29"/>
  <c r="O33"/>
  <c r="O37"/>
  <c r="O40"/>
  <c r="O41"/>
  <c r="O43"/>
  <c r="O44"/>
  <c r="O47"/>
  <c r="O48"/>
  <c r="O51"/>
  <c r="O52"/>
  <c r="O55"/>
  <c r="O56"/>
  <c r="O60"/>
  <c r="O61"/>
  <c r="O66"/>
  <c r="O67"/>
  <c r="O70"/>
  <c r="O74"/>
  <c r="O76"/>
  <c r="O77"/>
  <c r="O78"/>
  <c r="O80"/>
  <c r="O81"/>
  <c r="O82"/>
  <c r="O85"/>
  <c r="S85" s="1"/>
  <c r="O90"/>
  <c r="O91"/>
  <c r="O93"/>
  <c r="O97"/>
  <c r="O98"/>
  <c r="O101"/>
  <c r="O102"/>
  <c r="N4"/>
  <c r="O4" s="1"/>
  <c r="P81" i="15"/>
  <c r="P82" s="1"/>
  <c r="N81"/>
  <c r="N82" s="1"/>
  <c r="J81"/>
  <c r="J82" s="1"/>
  <c r="G248"/>
  <c r="K38"/>
  <c r="J38"/>
  <c r="K138"/>
  <c r="J138"/>
  <c r="K153"/>
  <c r="J153"/>
  <c r="AB103" i="19"/>
  <c r="AE103" s="1"/>
  <c r="K157" i="15" s="1"/>
  <c r="M103" i="19"/>
  <c r="D103"/>
  <c r="G103" s="1"/>
  <c r="K103" s="1"/>
  <c r="J157" i="15"/>
  <c r="C142" i="17" l="1"/>
  <c r="H142" s="1"/>
  <c r="C125"/>
  <c r="X85" i="19"/>
  <c r="I38" i="15"/>
  <c r="C127" i="17"/>
  <c r="C136"/>
  <c r="H136" s="1"/>
  <c r="P84" i="19"/>
  <c r="S84"/>
  <c r="I153" i="15" s="1"/>
  <c r="T85" i="19"/>
  <c r="W85"/>
  <c r="I138" i="15"/>
  <c r="U86" i="19"/>
  <c r="U85"/>
  <c r="X86"/>
  <c r="T86"/>
  <c r="S103"/>
  <c r="I157" i="15" s="1"/>
  <c r="P103" i="19"/>
  <c r="AI103"/>
  <c r="AF103"/>
  <c r="AJ103"/>
  <c r="I103"/>
  <c r="L103"/>
  <c r="H103"/>
  <c r="J142" i="17" l="1"/>
  <c r="L142"/>
  <c r="I142"/>
  <c r="K142"/>
  <c r="T84" i="19"/>
  <c r="Q207" i="15"/>
  <c r="S207" s="1"/>
  <c r="U84" i="19"/>
  <c r="W84"/>
  <c r="I136" i="17"/>
  <c r="J136"/>
  <c r="L136"/>
  <c r="K136"/>
  <c r="X84" i="19"/>
  <c r="X103"/>
  <c r="U103"/>
  <c r="W103"/>
  <c r="T103"/>
  <c r="M142" i="17" l="1"/>
  <c r="M136"/>
  <c r="N136" s="1"/>
  <c r="J35" s="1"/>
  <c r="AC225" i="15"/>
  <c r="U225"/>
  <c r="J107"/>
  <c r="L155"/>
  <c r="J155"/>
  <c r="R192"/>
  <c r="R175"/>
  <c r="R169"/>
  <c r="R154"/>
  <c r="R152"/>
  <c r="R135"/>
  <c r="R142" s="1"/>
  <c r="L15" i="20" s="1"/>
  <c r="R122" i="15"/>
  <c r="R121"/>
  <c r="Q116"/>
  <c r="P114"/>
  <c r="O114"/>
  <c r="J114"/>
  <c r="R37"/>
  <c r="R34"/>
  <c r="P24"/>
  <c r="J24"/>
  <c r="O81"/>
  <c r="O82" s="1"/>
  <c r="J25" l="1"/>
  <c r="Q32" i="20"/>
  <c r="O32"/>
  <c r="O30"/>
  <c r="O27"/>
  <c r="O29" s="1"/>
  <c r="O34" l="1"/>
  <c r="D61" i="16" l="1"/>
  <c r="D62" s="1"/>
  <c r="D63" s="1"/>
  <c r="D64" s="1"/>
  <c r="D65" s="1"/>
  <c r="D66" s="1"/>
  <c r="D76" l="1"/>
  <c r="L218" i="15"/>
  <c r="M218"/>
  <c r="N218"/>
  <c r="O218"/>
  <c r="R218"/>
  <c r="T218"/>
  <c r="AE59" i="19"/>
  <c r="K132" i="15" s="1"/>
  <c r="M59" i="19"/>
  <c r="D59"/>
  <c r="G59" s="1"/>
  <c r="K59" s="1"/>
  <c r="Q217" i="15" l="1"/>
  <c r="S217" s="1"/>
  <c r="S59" i="19"/>
  <c r="P59"/>
  <c r="AJ59"/>
  <c r="AI59"/>
  <c r="AF59"/>
  <c r="H59"/>
  <c r="L59"/>
  <c r="I59"/>
  <c r="I132" i="15" l="1"/>
  <c r="Q132" s="1"/>
  <c r="I156"/>
  <c r="Q156" s="1"/>
  <c r="U59" i="19"/>
  <c r="T59"/>
  <c r="W59"/>
  <c r="X59"/>
  <c r="AE58"/>
  <c r="K156" i="15" s="1"/>
  <c r="M58" i="19"/>
  <c r="D58"/>
  <c r="AE56"/>
  <c r="K117" i="15" s="1"/>
  <c r="M56" i="19"/>
  <c r="D56"/>
  <c r="AH22" i="18"/>
  <c r="D15" i="19"/>
  <c r="M11"/>
  <c r="M12"/>
  <c r="M13"/>
  <c r="M14"/>
  <c r="M15"/>
  <c r="M6"/>
  <c r="AC78"/>
  <c r="Q78"/>
  <c r="E78"/>
  <c r="P218" i="15"/>
  <c r="S156" l="1"/>
  <c r="G58" i="19"/>
  <c r="K58" s="1"/>
  <c r="G56"/>
  <c r="H56" s="1"/>
  <c r="J218" i="15"/>
  <c r="S56" i="19"/>
  <c r="P56"/>
  <c r="AI56"/>
  <c r="AF56"/>
  <c r="AJ56"/>
  <c r="S58"/>
  <c r="P58"/>
  <c r="AJ58"/>
  <c r="AI58"/>
  <c r="AF58"/>
  <c r="O121" i="15"/>
  <c r="O86"/>
  <c r="N86"/>
  <c r="P71"/>
  <c r="J71"/>
  <c r="J28"/>
  <c r="N26"/>
  <c r="O26" s="1"/>
  <c r="J26"/>
  <c r="I26"/>
  <c r="Q21"/>
  <c r="J7"/>
  <c r="K13"/>
  <c r="J13"/>
  <c r="AE55" i="19"/>
  <c r="K24" i="15" s="1"/>
  <c r="M55" i="19"/>
  <c r="D55"/>
  <c r="G55" s="1"/>
  <c r="I117" i="15" l="1"/>
  <c r="S132"/>
  <c r="Q216"/>
  <c r="L58" i="19"/>
  <c r="I56"/>
  <c r="H58"/>
  <c r="L56"/>
  <c r="I58"/>
  <c r="K56"/>
  <c r="Q215" i="15"/>
  <c r="S55" i="19"/>
  <c r="S216" i="15"/>
  <c r="W216" s="1"/>
  <c r="AB216" s="1"/>
  <c r="U58" i="19"/>
  <c r="X58"/>
  <c r="W58"/>
  <c r="T58"/>
  <c r="X56"/>
  <c r="W56"/>
  <c r="U56"/>
  <c r="T56"/>
  <c r="AI55"/>
  <c r="AJ55"/>
  <c r="AF55"/>
  <c r="K55"/>
  <c r="I55"/>
  <c r="H55"/>
  <c r="L55"/>
  <c r="P55"/>
  <c r="Q117" i="15" l="1"/>
  <c r="S117" s="1"/>
  <c r="T55" i="19"/>
  <c r="I24" i="15"/>
  <c r="U55" i="19"/>
  <c r="W55"/>
  <c r="X216" i="15"/>
  <c r="AD216" s="1"/>
  <c r="Z216"/>
  <c r="V216"/>
  <c r="AA216" s="1"/>
  <c r="AF216" s="1"/>
  <c r="X215"/>
  <c r="AD215" s="1"/>
  <c r="Z215"/>
  <c r="V215"/>
  <c r="X55" i="19"/>
  <c r="AH208" i="15"/>
  <c r="AE218"/>
  <c r="P173"/>
  <c r="AB54" i="19"/>
  <c r="M54"/>
  <c r="D54"/>
  <c r="G54" s="1"/>
  <c r="AB53"/>
  <c r="AE53" s="1"/>
  <c r="K115" i="15" s="1"/>
  <c r="M53" i="19"/>
  <c r="D53"/>
  <c r="G53" s="1"/>
  <c r="AB52"/>
  <c r="C144" i="17" s="1"/>
  <c r="H144" s="1"/>
  <c r="M52" i="19"/>
  <c r="D52"/>
  <c r="G52" s="1"/>
  <c r="I144" i="17" l="1"/>
  <c r="L144"/>
  <c r="K144"/>
  <c r="J144"/>
  <c r="AE54" i="19"/>
  <c r="K119" i="15" s="1"/>
  <c r="C132" i="17"/>
  <c r="H132" s="1"/>
  <c r="K132" s="1"/>
  <c r="AE52" i="19"/>
  <c r="AJ52" s="1"/>
  <c r="C134" i="17"/>
  <c r="H134" s="1"/>
  <c r="AG216" i="15"/>
  <c r="AA215"/>
  <c r="AG215"/>
  <c r="I54" i="19"/>
  <c r="H54"/>
  <c r="L54"/>
  <c r="K54"/>
  <c r="AI54"/>
  <c r="I53"/>
  <c r="K53"/>
  <c r="H53"/>
  <c r="L53"/>
  <c r="AJ53"/>
  <c r="AI53"/>
  <c r="AF53"/>
  <c r="I52"/>
  <c r="K52"/>
  <c r="H52"/>
  <c r="L52"/>
  <c r="D26" i="16"/>
  <c r="G251" i="15"/>
  <c r="O139"/>
  <c r="N139"/>
  <c r="N142" s="1"/>
  <c r="AB51" i="19"/>
  <c r="AE51" s="1"/>
  <c r="AF51" s="1"/>
  <c r="M51"/>
  <c r="S51" s="1"/>
  <c r="D51"/>
  <c r="G51" s="1"/>
  <c r="AB50"/>
  <c r="D50"/>
  <c r="G50" s="1"/>
  <c r="M50"/>
  <c r="G127" i="17"/>
  <c r="B127"/>
  <c r="B77"/>
  <c r="M9" i="15"/>
  <c r="L9"/>
  <c r="C77" i="17"/>
  <c r="C75"/>
  <c r="G121"/>
  <c r="B121"/>
  <c r="G125"/>
  <c r="B125"/>
  <c r="G119"/>
  <c r="B119"/>
  <c r="C117"/>
  <c r="B117"/>
  <c r="G117"/>
  <c r="G113"/>
  <c r="G110"/>
  <c r="G105"/>
  <c r="C105"/>
  <c r="B105"/>
  <c r="G31"/>
  <c r="G68"/>
  <c r="G70" s="1"/>
  <c r="G61"/>
  <c r="E70"/>
  <c r="C70"/>
  <c r="C72" s="1"/>
  <c r="B70"/>
  <c r="C68"/>
  <c r="C65"/>
  <c r="C63"/>
  <c r="C61"/>
  <c r="AJ21" i="19"/>
  <c r="S110"/>
  <c r="X110" s="1"/>
  <c r="M7"/>
  <c r="N7" s="1"/>
  <c r="O7" s="1"/>
  <c r="M8"/>
  <c r="N8" s="1"/>
  <c r="O8" s="1"/>
  <c r="M9"/>
  <c r="M10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60"/>
  <c r="M61"/>
  <c r="M62"/>
  <c r="M64"/>
  <c r="M65"/>
  <c r="M66"/>
  <c r="M67"/>
  <c r="M68"/>
  <c r="M69"/>
  <c r="M70"/>
  <c r="M71"/>
  <c r="N71" s="1"/>
  <c r="O71" s="1"/>
  <c r="M72"/>
  <c r="N72" s="1"/>
  <c r="O72" s="1"/>
  <c r="M73"/>
  <c r="N73" s="1"/>
  <c r="O73" s="1"/>
  <c r="M74"/>
  <c r="M75"/>
  <c r="M76"/>
  <c r="M77"/>
  <c r="M78"/>
  <c r="M79"/>
  <c r="M80"/>
  <c r="M81"/>
  <c r="M82"/>
  <c r="M83"/>
  <c r="M87"/>
  <c r="M88"/>
  <c r="M90"/>
  <c r="M91"/>
  <c r="M92"/>
  <c r="M93"/>
  <c r="M94"/>
  <c r="M95"/>
  <c r="M96"/>
  <c r="M97"/>
  <c r="M98"/>
  <c r="M99"/>
  <c r="M100"/>
  <c r="M101"/>
  <c r="M102"/>
  <c r="M104"/>
  <c r="M105"/>
  <c r="S121"/>
  <c r="AB105"/>
  <c r="AE105" s="1"/>
  <c r="K151" i="15" s="1"/>
  <c r="D105" i="19"/>
  <c r="G105" s="1"/>
  <c r="L105" s="1"/>
  <c r="AB104"/>
  <c r="AE104" s="1"/>
  <c r="D104"/>
  <c r="G104" s="1"/>
  <c r="AB102"/>
  <c r="AE102" s="1"/>
  <c r="K121" i="15" s="1"/>
  <c r="D102" i="19"/>
  <c r="G102" s="1"/>
  <c r="L102" s="1"/>
  <c r="AB101"/>
  <c r="AE101" s="1"/>
  <c r="D101"/>
  <c r="G101" s="1"/>
  <c r="AB100"/>
  <c r="AE100" s="1"/>
  <c r="K86" i="15" s="1"/>
  <c r="D100" i="19"/>
  <c r="G100" s="1"/>
  <c r="L100" s="1"/>
  <c r="AB99"/>
  <c r="AE99" s="1"/>
  <c r="D99"/>
  <c r="G99" s="1"/>
  <c r="AB98"/>
  <c r="AE98" s="1"/>
  <c r="K113" i="15" s="1"/>
  <c r="D98" i="19"/>
  <c r="G98" s="1"/>
  <c r="L98" s="1"/>
  <c r="AB97"/>
  <c r="AE97" s="1"/>
  <c r="D97"/>
  <c r="G97" s="1"/>
  <c r="AB96"/>
  <c r="AE96" s="1"/>
  <c r="D96"/>
  <c r="G96" s="1"/>
  <c r="L96" s="1"/>
  <c r="AB95"/>
  <c r="AE95" s="1"/>
  <c r="K11" i="15" s="1"/>
  <c r="E95" i="19"/>
  <c r="E107" s="1"/>
  <c r="D95"/>
  <c r="AB94"/>
  <c r="AE94" s="1"/>
  <c r="D94"/>
  <c r="G94" s="1"/>
  <c r="AB93"/>
  <c r="AE93" s="1"/>
  <c r="K81" i="15" s="1"/>
  <c r="K82" s="1"/>
  <c r="D93" i="19"/>
  <c r="G93" s="1"/>
  <c r="AB92"/>
  <c r="AE92" s="1"/>
  <c r="K154" i="15" s="1"/>
  <c r="D92" i="19"/>
  <c r="G92" s="1"/>
  <c r="L92" s="1"/>
  <c r="AB91"/>
  <c r="AE91" s="1"/>
  <c r="D91"/>
  <c r="G91" s="1"/>
  <c r="AB90"/>
  <c r="AE90" s="1"/>
  <c r="K67" i="15" s="1"/>
  <c r="D90" i="19"/>
  <c r="G90" s="1"/>
  <c r="L90" s="1"/>
  <c r="AB88"/>
  <c r="D88"/>
  <c r="G88" s="1"/>
  <c r="AB87"/>
  <c r="AE87" s="1"/>
  <c r="D87"/>
  <c r="G87" s="1"/>
  <c r="L87" s="1"/>
  <c r="AB83"/>
  <c r="AE83" s="1"/>
  <c r="D83"/>
  <c r="G83" s="1"/>
  <c r="AB82"/>
  <c r="AE82" s="1"/>
  <c r="D82"/>
  <c r="G82" s="1"/>
  <c r="L82" s="1"/>
  <c r="AB81"/>
  <c r="AE81" s="1"/>
  <c r="AJ81" s="1"/>
  <c r="D81"/>
  <c r="G81" s="1"/>
  <c r="AB80"/>
  <c r="AE80" s="1"/>
  <c r="K173" i="15" s="1"/>
  <c r="D80" i="19"/>
  <c r="G80" s="1"/>
  <c r="I80" s="1"/>
  <c r="AB79"/>
  <c r="AE79" s="1"/>
  <c r="D79"/>
  <c r="G79" s="1"/>
  <c r="AB78"/>
  <c r="AE78" s="1"/>
  <c r="K155" i="15" s="1"/>
  <c r="D78" i="19"/>
  <c r="G78" s="1"/>
  <c r="L78" s="1"/>
  <c r="AB77"/>
  <c r="AE77" s="1"/>
  <c r="D77"/>
  <c r="G77" s="1"/>
  <c r="AB76"/>
  <c r="AE76" s="1"/>
  <c r="D76"/>
  <c r="G76" s="1"/>
  <c r="I76" s="1"/>
  <c r="AB75"/>
  <c r="AE75" s="1"/>
  <c r="D75"/>
  <c r="G75" s="1"/>
  <c r="AB74"/>
  <c r="AE74" s="1"/>
  <c r="K7" i="15" s="1"/>
  <c r="D74" i="19"/>
  <c r="G74" s="1"/>
  <c r="L74" s="1"/>
  <c r="AB73"/>
  <c r="AE73" s="1"/>
  <c r="AJ73" s="1"/>
  <c r="D73"/>
  <c r="G73" s="1"/>
  <c r="AB72"/>
  <c r="AE72" s="1"/>
  <c r="D72"/>
  <c r="G72" s="1"/>
  <c r="L72" s="1"/>
  <c r="AB71"/>
  <c r="AE71" s="1"/>
  <c r="AJ71" s="1"/>
  <c r="D71"/>
  <c r="G71" s="1"/>
  <c r="H71" s="1"/>
  <c r="AB70"/>
  <c r="AE70" s="1"/>
  <c r="D70"/>
  <c r="G70" s="1"/>
  <c r="I70" s="1"/>
  <c r="AB69"/>
  <c r="AE69" s="1"/>
  <c r="D69"/>
  <c r="G69" s="1"/>
  <c r="AB68"/>
  <c r="AE68" s="1"/>
  <c r="K126" i="15" s="1"/>
  <c r="D68" i="19"/>
  <c r="G68" s="1"/>
  <c r="L68" s="1"/>
  <c r="AB67"/>
  <c r="AE67" s="1"/>
  <c r="D67"/>
  <c r="G67" s="1"/>
  <c r="AB66"/>
  <c r="AE66" s="1"/>
  <c r="K205" i="15" s="1"/>
  <c r="D66" i="19"/>
  <c r="G66" s="1"/>
  <c r="L66" s="1"/>
  <c r="AB65"/>
  <c r="AE65" s="1"/>
  <c r="D65"/>
  <c r="G65" s="1"/>
  <c r="AB64"/>
  <c r="AE64" s="1"/>
  <c r="AJ70" s="1"/>
  <c r="D64"/>
  <c r="G64" s="1"/>
  <c r="L64" s="1"/>
  <c r="AB62"/>
  <c r="AE62" s="1"/>
  <c r="D62"/>
  <c r="G62" s="1"/>
  <c r="AB61"/>
  <c r="AE61" s="1"/>
  <c r="K68" i="15" s="1"/>
  <c r="D61" i="19"/>
  <c r="G61" s="1"/>
  <c r="L61" s="1"/>
  <c r="AB60"/>
  <c r="AE60" s="1"/>
  <c r="K169" i="15" s="1"/>
  <c r="D60" i="19"/>
  <c r="G60" s="1"/>
  <c r="AB49"/>
  <c r="D49"/>
  <c r="AB48"/>
  <c r="D48"/>
  <c r="AB47"/>
  <c r="AE47" s="1"/>
  <c r="K120" i="15" s="1"/>
  <c r="D47" i="19"/>
  <c r="G47" s="1"/>
  <c r="L47" s="1"/>
  <c r="AB46"/>
  <c r="AE46" s="1"/>
  <c r="D46"/>
  <c r="G46" s="1"/>
  <c r="AB45"/>
  <c r="D45"/>
  <c r="AB44"/>
  <c r="AE44" s="1"/>
  <c r="D44"/>
  <c r="G44" s="1"/>
  <c r="AB43"/>
  <c r="AE43" s="1"/>
  <c r="D43"/>
  <c r="G43" s="1"/>
  <c r="L43" s="1"/>
  <c r="AB42"/>
  <c r="AE42" s="1"/>
  <c r="D42"/>
  <c r="G42" s="1"/>
  <c r="AB41"/>
  <c r="AE41" s="1"/>
  <c r="K158" i="15" s="1"/>
  <c r="D41" i="19"/>
  <c r="G41" s="1"/>
  <c r="L41" s="1"/>
  <c r="AB40"/>
  <c r="AE40" s="1"/>
  <c r="D40"/>
  <c r="G40" s="1"/>
  <c r="AB39"/>
  <c r="AE39" s="1"/>
  <c r="K53" i="15" s="1"/>
  <c r="D39" i="19"/>
  <c r="G39" s="1"/>
  <c r="L39" s="1"/>
  <c r="AB38"/>
  <c r="AE38" s="1"/>
  <c r="D38"/>
  <c r="G38" s="1"/>
  <c r="AB37"/>
  <c r="AE37" s="1"/>
  <c r="K12" i="15" s="1"/>
  <c r="D37" i="19"/>
  <c r="G37" s="1"/>
  <c r="L37" s="1"/>
  <c r="AB36"/>
  <c r="AE36" s="1"/>
  <c r="D36"/>
  <c r="G36" s="1"/>
  <c r="AB35"/>
  <c r="AE35" s="1"/>
  <c r="K9" i="15" s="1"/>
  <c r="D35" i="19"/>
  <c r="G35" s="1"/>
  <c r="L35" s="1"/>
  <c r="AB34"/>
  <c r="AE34" s="1"/>
  <c r="D34"/>
  <c r="G34" s="1"/>
  <c r="AB33"/>
  <c r="AE33" s="1"/>
  <c r="K88" i="15" s="1"/>
  <c r="D33" i="19"/>
  <c r="G33" s="1"/>
  <c r="L33" s="1"/>
  <c r="AB32"/>
  <c r="AE32" s="1"/>
  <c r="D32"/>
  <c r="G32" s="1"/>
  <c r="AB31"/>
  <c r="AE31" s="1"/>
  <c r="K191" i="15" s="1"/>
  <c r="D31" i="19"/>
  <c r="G31" s="1"/>
  <c r="I31" s="1"/>
  <c r="AB30"/>
  <c r="AE30" s="1"/>
  <c r="K174" i="15" s="1"/>
  <c r="D30" i="19"/>
  <c r="G30" s="1"/>
  <c r="AB29"/>
  <c r="AE29" s="1"/>
  <c r="K171" i="15" s="1"/>
  <c r="D29" i="19"/>
  <c r="G29" s="1"/>
  <c r="I29" s="1"/>
  <c r="AB28"/>
  <c r="AE28" s="1"/>
  <c r="K189" i="15" s="1"/>
  <c r="D28" i="19"/>
  <c r="G28" s="1"/>
  <c r="AB27"/>
  <c r="AE27" s="1"/>
  <c r="K170" i="15" s="1"/>
  <c r="D27" i="19"/>
  <c r="G27" s="1"/>
  <c r="I27" s="1"/>
  <c r="AB26"/>
  <c r="AE26" s="1"/>
  <c r="D26"/>
  <c r="G26" s="1"/>
  <c r="AB25"/>
  <c r="AE25" s="1"/>
  <c r="D25"/>
  <c r="G25" s="1"/>
  <c r="L25" s="1"/>
  <c r="AB24"/>
  <c r="AE24" s="1"/>
  <c r="D24"/>
  <c r="G24" s="1"/>
  <c r="H24" s="1"/>
  <c r="AB23"/>
  <c r="AE23" s="1"/>
  <c r="D23"/>
  <c r="G23" s="1"/>
  <c r="I23" s="1"/>
  <c r="AB22"/>
  <c r="AE22" s="1"/>
  <c r="AJ28" s="1"/>
  <c r="D22"/>
  <c r="G22" s="1"/>
  <c r="H22" s="1"/>
  <c r="AB21"/>
  <c r="AE21" s="1"/>
  <c r="D21"/>
  <c r="G21" s="1"/>
  <c r="I21" s="1"/>
  <c r="AB20"/>
  <c r="AE20" s="1"/>
  <c r="D20"/>
  <c r="G20" s="1"/>
  <c r="I20" s="1"/>
  <c r="AB19"/>
  <c r="AE19" s="1"/>
  <c r="AJ19" s="1"/>
  <c r="D19"/>
  <c r="G19" s="1"/>
  <c r="I19" s="1"/>
  <c r="AB18"/>
  <c r="AE18" s="1"/>
  <c r="D18"/>
  <c r="G18" s="1"/>
  <c r="I18" s="1"/>
  <c r="AB17"/>
  <c r="AE17" s="1"/>
  <c r="D17"/>
  <c r="G17" s="1"/>
  <c r="I17" s="1"/>
  <c r="AB16"/>
  <c r="AE16" s="1"/>
  <c r="D16"/>
  <c r="G16" s="1"/>
  <c r="H16" s="1"/>
  <c r="AB14"/>
  <c r="AE14" s="1"/>
  <c r="D14"/>
  <c r="G14" s="1"/>
  <c r="I14" s="1"/>
  <c r="AB13"/>
  <c r="AE13" s="1"/>
  <c r="D13"/>
  <c r="G13" s="1"/>
  <c r="H13" s="1"/>
  <c r="AB12"/>
  <c r="AE12" s="1"/>
  <c r="AF12" s="1"/>
  <c r="D12"/>
  <c r="G12" s="1"/>
  <c r="I12" s="1"/>
  <c r="AB11"/>
  <c r="AE11" s="1"/>
  <c r="D11"/>
  <c r="G11" s="1"/>
  <c r="H11" s="1"/>
  <c r="AB10"/>
  <c r="AE10" s="1"/>
  <c r="D10"/>
  <c r="G10" s="1"/>
  <c r="I10" s="1"/>
  <c r="AB9"/>
  <c r="AE9" s="1"/>
  <c r="D9"/>
  <c r="G9" s="1"/>
  <c r="H9" s="1"/>
  <c r="AB8"/>
  <c r="AE8" s="1"/>
  <c r="D8"/>
  <c r="G8" s="1"/>
  <c r="I8" s="1"/>
  <c r="AB7"/>
  <c r="AE7" s="1"/>
  <c r="D7"/>
  <c r="G7" s="1"/>
  <c r="H7" s="1"/>
  <c r="AB6"/>
  <c r="AE6" s="1"/>
  <c r="D6"/>
  <c r="G6" s="1"/>
  <c r="I6" s="1"/>
  <c r="AB5"/>
  <c r="AE5" s="1"/>
  <c r="D5"/>
  <c r="G5" s="1"/>
  <c r="H5" s="1"/>
  <c r="AB4"/>
  <c r="AE4" s="1"/>
  <c r="AF4" s="1"/>
  <c r="D4"/>
  <c r="G4" s="1"/>
  <c r="I4" s="1"/>
  <c r="K1"/>
  <c r="C151" i="17" l="1"/>
  <c r="H151" s="1"/>
  <c r="C140"/>
  <c r="M144"/>
  <c r="AF54" i="19"/>
  <c r="AJ54"/>
  <c r="AI52"/>
  <c r="AE88"/>
  <c r="K206" i="15" s="1"/>
  <c r="H140" i="17"/>
  <c r="L132"/>
  <c r="J132"/>
  <c r="I132"/>
  <c r="H127"/>
  <c r="I127" s="1"/>
  <c r="AF52" i="19"/>
  <c r="L134" i="17"/>
  <c r="K134"/>
  <c r="J134"/>
  <c r="I134"/>
  <c r="H138"/>
  <c r="H70"/>
  <c r="K70" s="1"/>
  <c r="H125"/>
  <c r="K125" s="1"/>
  <c r="H68"/>
  <c r="K68" s="1"/>
  <c r="K218" i="15"/>
  <c r="K107"/>
  <c r="AJ42" i="19"/>
  <c r="K114" i="15"/>
  <c r="AJ62" i="19"/>
  <c r="G48"/>
  <c r="L48" s="1"/>
  <c r="K71" i="15"/>
  <c r="S88" i="19"/>
  <c r="Q211" i="15"/>
  <c r="I71"/>
  <c r="AI51" i="19"/>
  <c r="AJ51"/>
  <c r="AE49"/>
  <c r="AI49" s="1"/>
  <c r="Q13" i="15"/>
  <c r="S13" s="1"/>
  <c r="P51" i="19"/>
  <c r="H51"/>
  <c r="L51"/>
  <c r="K51"/>
  <c r="I51"/>
  <c r="P39"/>
  <c r="P31"/>
  <c r="S74"/>
  <c r="I7" i="15" s="1"/>
  <c r="P66" i="19"/>
  <c r="P47"/>
  <c r="S14"/>
  <c r="T14" s="1"/>
  <c r="AE50"/>
  <c r="I50"/>
  <c r="H50"/>
  <c r="L50"/>
  <c r="S50"/>
  <c r="I28" i="15" s="1"/>
  <c r="K50" i="19"/>
  <c r="H18"/>
  <c r="S65"/>
  <c r="I152" i="15" s="1"/>
  <c r="P46" i="19"/>
  <c r="S38"/>
  <c r="P30"/>
  <c r="S22"/>
  <c r="I193" i="15" s="1"/>
  <c r="S13" i="19"/>
  <c r="L21"/>
  <c r="P76"/>
  <c r="S61"/>
  <c r="I68" i="15" s="1"/>
  <c r="P43" i="19"/>
  <c r="S35"/>
  <c r="I9" i="15" s="1"/>
  <c r="P27" i="19"/>
  <c r="S19"/>
  <c r="T19" s="1"/>
  <c r="S10"/>
  <c r="I73" i="15" s="1"/>
  <c r="Q26"/>
  <c r="S77" i="19"/>
  <c r="S60"/>
  <c r="I169" i="15" s="1"/>
  <c r="P42" i="19"/>
  <c r="P34"/>
  <c r="S26"/>
  <c r="I87" i="15" s="1"/>
  <c r="P18" i="19"/>
  <c r="H105" i="17"/>
  <c r="L68"/>
  <c r="B72"/>
  <c r="B75" s="1"/>
  <c r="E29"/>
  <c r="E30" s="1"/>
  <c r="E31" s="1"/>
  <c r="E35" s="1"/>
  <c r="E36" s="1"/>
  <c r="G72"/>
  <c r="G75" s="1"/>
  <c r="G77" s="1"/>
  <c r="H77" s="1"/>
  <c r="K172" i="15"/>
  <c r="AJ69" i="19"/>
  <c r="K34" i="15"/>
  <c r="AJ65" i="19"/>
  <c r="K152" i="15"/>
  <c r="AJ46" i="19"/>
  <c r="K203" i="15"/>
  <c r="AJ40" i="19"/>
  <c r="K39" i="15"/>
  <c r="AJ77" i="19"/>
  <c r="AJ88"/>
  <c r="AJ97"/>
  <c r="AJ101"/>
  <c r="K90" i="15"/>
  <c r="K111"/>
  <c r="AJ6" i="19"/>
  <c r="AI6"/>
  <c r="AJ8"/>
  <c r="AI8"/>
  <c r="AJ10"/>
  <c r="K73" i="15"/>
  <c r="AI10" i="19"/>
  <c r="AJ14"/>
  <c r="AJ20"/>
  <c r="AI14"/>
  <c r="AJ17"/>
  <c r="K134" i="15"/>
  <c r="AI17" i="19"/>
  <c r="AJ23"/>
  <c r="K204" i="15"/>
  <c r="AJ29" i="19"/>
  <c r="AJ76"/>
  <c r="AI70"/>
  <c r="K175" i="15"/>
  <c r="AF70" i="19"/>
  <c r="AJ79"/>
  <c r="K37" i="15"/>
  <c r="S6" i="19"/>
  <c r="T6" s="1"/>
  <c r="P92"/>
  <c r="T10"/>
  <c r="AI4"/>
  <c r="AF6"/>
  <c r="AF8"/>
  <c r="K74" i="15"/>
  <c r="AF10" i="19"/>
  <c r="AF14"/>
  <c r="K141" i="15"/>
  <c r="AJ22" i="19"/>
  <c r="AF17"/>
  <c r="K187" i="15"/>
  <c r="AF19" i="19"/>
  <c r="AJ31"/>
  <c r="K100" i="15"/>
  <c r="AJ36" i="19"/>
  <c r="K52" i="15"/>
  <c r="AJ44" i="19"/>
  <c r="AJ60"/>
  <c r="AE45"/>
  <c r="AJ99"/>
  <c r="K139" i="15"/>
  <c r="AJ104" i="19"/>
  <c r="K54" i="15"/>
  <c r="K135"/>
  <c r="K193"/>
  <c r="AJ27" i="19"/>
  <c r="K190" i="15"/>
  <c r="AJ24" i="19"/>
  <c r="K101" i="15"/>
  <c r="AJ30" i="19"/>
  <c r="AJ32"/>
  <c r="K51" i="15"/>
  <c r="AJ67" i="19"/>
  <c r="K125" i="15"/>
  <c r="K124"/>
  <c r="AJ12" i="19"/>
  <c r="AJ18"/>
  <c r="AI12"/>
  <c r="AJ26"/>
  <c r="K87" i="15"/>
  <c r="AJ34" i="19"/>
  <c r="K17" i="15"/>
  <c r="K192"/>
  <c r="AJ91" i="19"/>
  <c r="K35" i="15"/>
  <c r="AJ38" i="19"/>
  <c r="G49"/>
  <c r="H49" s="1"/>
  <c r="AJ75"/>
  <c r="K112" i="15"/>
  <c r="AJ83" i="19"/>
  <c r="K122" i="15"/>
  <c r="AJ94" i="19"/>
  <c r="S104"/>
  <c r="I54" i="15" s="1"/>
  <c r="P83" i="19"/>
  <c r="G95"/>
  <c r="H95" s="1"/>
  <c r="S4"/>
  <c r="T4" s="1"/>
  <c r="P5"/>
  <c r="AE48"/>
  <c r="AI48" s="1"/>
  <c r="K66" i="15"/>
  <c r="P9" i="19"/>
  <c r="S9"/>
  <c r="I74" i="15" s="1"/>
  <c r="K4" i="19"/>
  <c r="H4"/>
  <c r="AJ4"/>
  <c r="L5"/>
  <c r="I5"/>
  <c r="AI5"/>
  <c r="AF5"/>
  <c r="K6"/>
  <c r="H6"/>
  <c r="L7"/>
  <c r="I7"/>
  <c r="AI7"/>
  <c r="AF7"/>
  <c r="K8"/>
  <c r="H8"/>
  <c r="L9"/>
  <c r="I9"/>
  <c r="AI9"/>
  <c r="AF9"/>
  <c r="K10"/>
  <c r="H10"/>
  <c r="L11"/>
  <c r="I11"/>
  <c r="AI11"/>
  <c r="AF11"/>
  <c r="L18"/>
  <c r="K12"/>
  <c r="H12"/>
  <c r="L73"/>
  <c r="L13"/>
  <c r="I13"/>
  <c r="AI13"/>
  <c r="AF13"/>
  <c r="L20"/>
  <c r="K14"/>
  <c r="H14"/>
  <c r="L16"/>
  <c r="I16"/>
  <c r="AI16"/>
  <c r="AF16"/>
  <c r="L22"/>
  <c r="K17"/>
  <c r="H17"/>
  <c r="AI18"/>
  <c r="AF18"/>
  <c r="K19"/>
  <c r="H19"/>
  <c r="AI25"/>
  <c r="AF25"/>
  <c r="AJ25"/>
  <c r="L31"/>
  <c r="K26"/>
  <c r="H26"/>
  <c r="L26"/>
  <c r="I26"/>
  <c r="AI27"/>
  <c r="AF27"/>
  <c r="K28"/>
  <c r="H28"/>
  <c r="I28"/>
  <c r="AI29"/>
  <c r="AF29"/>
  <c r="K30"/>
  <c r="H30"/>
  <c r="I30"/>
  <c r="S31"/>
  <c r="I191" i="15" s="1"/>
  <c r="AI31" i="19"/>
  <c r="AF31"/>
  <c r="K32"/>
  <c r="H32"/>
  <c r="L32"/>
  <c r="I32"/>
  <c r="AI33"/>
  <c r="AF33"/>
  <c r="AJ33"/>
  <c r="K34"/>
  <c r="H34"/>
  <c r="L34"/>
  <c r="I34"/>
  <c r="K46"/>
  <c r="H46"/>
  <c r="L46"/>
  <c r="I46"/>
  <c r="AI47"/>
  <c r="AF47"/>
  <c r="AJ47"/>
  <c r="AF48"/>
  <c r="AJ48"/>
  <c r="K60"/>
  <c r="H60"/>
  <c r="I60"/>
  <c r="AI61"/>
  <c r="AF61"/>
  <c r="AJ61"/>
  <c r="K62"/>
  <c r="H62"/>
  <c r="L62"/>
  <c r="I62"/>
  <c r="AI64"/>
  <c r="AF64"/>
  <c r="AJ64"/>
  <c r="L70"/>
  <c r="K65"/>
  <c r="H65"/>
  <c r="L65"/>
  <c r="I65"/>
  <c r="AI66"/>
  <c r="AF66"/>
  <c r="AJ66"/>
  <c r="K67"/>
  <c r="H67"/>
  <c r="L67"/>
  <c r="I67"/>
  <c r="AI68"/>
  <c r="AF68"/>
  <c r="AJ68"/>
  <c r="K69"/>
  <c r="H69"/>
  <c r="L69"/>
  <c r="I69"/>
  <c r="L4"/>
  <c r="K5"/>
  <c r="AJ5"/>
  <c r="L6"/>
  <c r="K7"/>
  <c r="AJ7"/>
  <c r="L8"/>
  <c r="K9"/>
  <c r="AJ9"/>
  <c r="L10"/>
  <c r="K11"/>
  <c r="AJ11"/>
  <c r="L12"/>
  <c r="K13"/>
  <c r="AJ13"/>
  <c r="L14"/>
  <c r="K16"/>
  <c r="AJ16"/>
  <c r="L17"/>
  <c r="K18"/>
  <c r="L19"/>
  <c r="AI19"/>
  <c r="H20"/>
  <c r="AF21"/>
  <c r="AI21"/>
  <c r="AF23"/>
  <c r="AI23"/>
  <c r="AI20"/>
  <c r="AF20"/>
  <c r="K21"/>
  <c r="H21"/>
  <c r="L27"/>
  <c r="I22"/>
  <c r="AI22"/>
  <c r="AF22"/>
  <c r="L28"/>
  <c r="K23"/>
  <c r="H23"/>
  <c r="L29"/>
  <c r="L24"/>
  <c r="I24"/>
  <c r="P35"/>
  <c r="AI35"/>
  <c r="AF35"/>
  <c r="AJ35"/>
  <c r="K36"/>
  <c r="H36"/>
  <c r="L36"/>
  <c r="I36"/>
  <c r="AI37"/>
  <c r="AF37"/>
  <c r="AJ37"/>
  <c r="K38"/>
  <c r="H38"/>
  <c r="L38"/>
  <c r="I38"/>
  <c r="AI39"/>
  <c r="AF39"/>
  <c r="AJ39"/>
  <c r="K40"/>
  <c r="H40"/>
  <c r="L40"/>
  <c r="I40"/>
  <c r="AI41"/>
  <c r="AF41"/>
  <c r="AJ41"/>
  <c r="K42"/>
  <c r="H42"/>
  <c r="L42"/>
  <c r="I42"/>
  <c r="AI43"/>
  <c r="AF43"/>
  <c r="AJ43"/>
  <c r="K44"/>
  <c r="H44"/>
  <c r="L44"/>
  <c r="I44"/>
  <c r="S46"/>
  <c r="I203" i="15" s="1"/>
  <c r="P65" i="19"/>
  <c r="P6"/>
  <c r="K20"/>
  <c r="K22"/>
  <c r="L23"/>
  <c r="K24"/>
  <c r="L76"/>
  <c r="L71"/>
  <c r="I71"/>
  <c r="P88"/>
  <c r="S94"/>
  <c r="P94"/>
  <c r="K95"/>
  <c r="AJ95"/>
  <c r="AI95"/>
  <c r="AF95"/>
  <c r="S97"/>
  <c r="I111" i="15" s="1"/>
  <c r="P97" i="19"/>
  <c r="S101"/>
  <c r="I90" i="15" s="1"/>
  <c r="P101" i="19"/>
  <c r="P104"/>
  <c r="AF24"/>
  <c r="AI24"/>
  <c r="H25"/>
  <c r="K25"/>
  <c r="AF26"/>
  <c r="AI26"/>
  <c r="H27"/>
  <c r="K27"/>
  <c r="AF28"/>
  <c r="AI28"/>
  <c r="H29"/>
  <c r="K29"/>
  <c r="L30"/>
  <c r="AF30"/>
  <c r="AI30"/>
  <c r="H31"/>
  <c r="K31"/>
  <c r="AF32"/>
  <c r="AI32"/>
  <c r="H33"/>
  <c r="K33"/>
  <c r="AF34"/>
  <c r="AI34"/>
  <c r="H35"/>
  <c r="K35"/>
  <c r="AF36"/>
  <c r="AI36"/>
  <c r="H37"/>
  <c r="K37"/>
  <c r="AF38"/>
  <c r="AI38"/>
  <c r="H39"/>
  <c r="K39"/>
  <c r="AF40"/>
  <c r="AI40"/>
  <c r="H41"/>
  <c r="K41"/>
  <c r="AF42"/>
  <c r="AI42"/>
  <c r="H43"/>
  <c r="K43"/>
  <c r="AF44"/>
  <c r="AI44"/>
  <c r="G45"/>
  <c r="AF46"/>
  <c r="AI46"/>
  <c r="H47"/>
  <c r="K47"/>
  <c r="AF60"/>
  <c r="AI60"/>
  <c r="H61"/>
  <c r="K61"/>
  <c r="AF62"/>
  <c r="AI62"/>
  <c r="H64"/>
  <c r="K64"/>
  <c r="AF65"/>
  <c r="AI65"/>
  <c r="H66"/>
  <c r="K66"/>
  <c r="AF67"/>
  <c r="AI67"/>
  <c r="H68"/>
  <c r="K68"/>
  <c r="AF69"/>
  <c r="AI69"/>
  <c r="H70"/>
  <c r="K70"/>
  <c r="K71"/>
  <c r="AI72"/>
  <c r="AF72"/>
  <c r="AJ72"/>
  <c r="K73"/>
  <c r="H73"/>
  <c r="I73"/>
  <c r="AI74"/>
  <c r="AF74"/>
  <c r="AJ74"/>
  <c r="L80"/>
  <c r="K75"/>
  <c r="H75"/>
  <c r="L75"/>
  <c r="I75"/>
  <c r="AI76"/>
  <c r="AF76"/>
  <c r="K77"/>
  <c r="H77"/>
  <c r="L77"/>
  <c r="I77"/>
  <c r="AI78"/>
  <c r="AF78"/>
  <c r="AJ78"/>
  <c r="K79"/>
  <c r="H79"/>
  <c r="L79"/>
  <c r="I79"/>
  <c r="AI80"/>
  <c r="AF80"/>
  <c r="AJ80"/>
  <c r="K81"/>
  <c r="H81"/>
  <c r="L81"/>
  <c r="I81"/>
  <c r="AI82"/>
  <c r="AF82"/>
  <c r="AJ82"/>
  <c r="K83"/>
  <c r="H83"/>
  <c r="L83"/>
  <c r="I83"/>
  <c r="P87"/>
  <c r="S87"/>
  <c r="I192" i="15" s="1"/>
  <c r="AI87" i="19"/>
  <c r="AF87"/>
  <c r="AJ87"/>
  <c r="K88"/>
  <c r="H88"/>
  <c r="L88"/>
  <c r="I88"/>
  <c r="P90"/>
  <c r="S90"/>
  <c r="I67" i="15" s="1"/>
  <c r="AI90" i="19"/>
  <c r="AF90"/>
  <c r="AJ90"/>
  <c r="K91"/>
  <c r="H91"/>
  <c r="L91"/>
  <c r="I91"/>
  <c r="AI92"/>
  <c r="AF92"/>
  <c r="AJ92"/>
  <c r="L93"/>
  <c r="I93"/>
  <c r="K93"/>
  <c r="H93"/>
  <c r="S93"/>
  <c r="I81" i="15" s="1"/>
  <c r="I82" s="1"/>
  <c r="P93" i="19"/>
  <c r="AI93"/>
  <c r="AF93"/>
  <c r="AJ93"/>
  <c r="K94"/>
  <c r="H94"/>
  <c r="L94"/>
  <c r="I94"/>
  <c r="P96"/>
  <c r="S96"/>
  <c r="I66" i="15" s="1"/>
  <c r="AI96" i="19"/>
  <c r="AF96"/>
  <c r="AJ96"/>
  <c r="K97"/>
  <c r="H97"/>
  <c r="L97"/>
  <c r="I97"/>
  <c r="P98"/>
  <c r="S98"/>
  <c r="I113" i="15" s="1"/>
  <c r="AI98" i="19"/>
  <c r="AF98"/>
  <c r="AJ98"/>
  <c r="K99"/>
  <c r="H99"/>
  <c r="L99"/>
  <c r="I99"/>
  <c r="AI100"/>
  <c r="AF100"/>
  <c r="AJ100"/>
  <c r="K101"/>
  <c r="H101"/>
  <c r="L101"/>
  <c r="I101"/>
  <c r="P102"/>
  <c r="S102"/>
  <c r="I121" i="15" s="1"/>
  <c r="AI102" i="19"/>
  <c r="AF102"/>
  <c r="AJ102"/>
  <c r="K104"/>
  <c r="H104"/>
  <c r="L104"/>
  <c r="I104"/>
  <c r="P105"/>
  <c r="S105"/>
  <c r="I151" i="15" s="1"/>
  <c r="AI105" i="19"/>
  <c r="AF105"/>
  <c r="AJ105"/>
  <c r="I25"/>
  <c r="I33"/>
  <c r="I35"/>
  <c r="I37"/>
  <c r="I39"/>
  <c r="I41"/>
  <c r="I43"/>
  <c r="I47"/>
  <c r="I61"/>
  <c r="I64"/>
  <c r="I66"/>
  <c r="I68"/>
  <c r="AF71"/>
  <c r="AI71"/>
  <c r="H72"/>
  <c r="K72"/>
  <c r="AF73"/>
  <c r="AI73"/>
  <c r="H74"/>
  <c r="K74"/>
  <c r="AF75"/>
  <c r="AI75"/>
  <c r="H76"/>
  <c r="K76"/>
  <c r="AF77"/>
  <c r="AI77"/>
  <c r="H78"/>
  <c r="K78"/>
  <c r="AF79"/>
  <c r="AI79"/>
  <c r="H80"/>
  <c r="K80"/>
  <c r="AF81"/>
  <c r="AI81"/>
  <c r="H82"/>
  <c r="K82"/>
  <c r="AF83"/>
  <c r="AI83"/>
  <c r="H87"/>
  <c r="K87"/>
  <c r="H90"/>
  <c r="K90"/>
  <c r="AF91"/>
  <c r="AI91"/>
  <c r="H92"/>
  <c r="K92"/>
  <c r="AF94"/>
  <c r="AI94"/>
  <c r="H96"/>
  <c r="K96"/>
  <c r="AF97"/>
  <c r="AI97"/>
  <c r="H98"/>
  <c r="K98"/>
  <c r="AF99"/>
  <c r="AI99"/>
  <c r="H100"/>
  <c r="K100"/>
  <c r="AF101"/>
  <c r="AI101"/>
  <c r="H102"/>
  <c r="K102"/>
  <c r="AF104"/>
  <c r="AI104"/>
  <c r="H105"/>
  <c r="K105"/>
  <c r="T110"/>
  <c r="W110"/>
  <c r="I72"/>
  <c r="I74"/>
  <c r="I78"/>
  <c r="I82"/>
  <c r="I87"/>
  <c r="I90"/>
  <c r="I92"/>
  <c r="I96"/>
  <c r="I98"/>
  <c r="I100"/>
  <c r="I102"/>
  <c r="I105"/>
  <c r="U110"/>
  <c r="AE219" i="15"/>
  <c r="AE17"/>
  <c r="T53" i="18"/>
  <c r="Q53"/>
  <c r="X52"/>
  <c r="T52"/>
  <c r="Q52"/>
  <c r="X51"/>
  <c r="Q51"/>
  <c r="W50"/>
  <c r="T50"/>
  <c r="Q50"/>
  <c r="Q49"/>
  <c r="R36"/>
  <c r="P36"/>
  <c r="N29"/>
  <c r="I29"/>
  <c r="AC28"/>
  <c r="AE28" s="1"/>
  <c r="X28"/>
  <c r="Z28" s="1"/>
  <c r="Q28"/>
  <c r="S28" s="1"/>
  <c r="O28"/>
  <c r="J28"/>
  <c r="K28" s="1"/>
  <c r="M28" s="1"/>
  <c r="E28"/>
  <c r="F28" s="1"/>
  <c r="H28" s="1"/>
  <c r="AC27"/>
  <c r="AG27" s="1"/>
  <c r="X27"/>
  <c r="Z27" s="1"/>
  <c r="Q27"/>
  <c r="S27" s="1"/>
  <c r="O27"/>
  <c r="J27"/>
  <c r="K27" s="1"/>
  <c r="M27" s="1"/>
  <c r="E27"/>
  <c r="F27" s="1"/>
  <c r="H27" s="1"/>
  <c r="AC26"/>
  <c r="AE26" s="1"/>
  <c r="X26"/>
  <c r="Z26" s="1"/>
  <c r="Q26"/>
  <c r="S26" s="1"/>
  <c r="O26"/>
  <c r="J26"/>
  <c r="K26" s="1"/>
  <c r="M26" s="1"/>
  <c r="E26"/>
  <c r="F26" s="1"/>
  <c r="H26" s="1"/>
  <c r="AI25"/>
  <c r="AH25"/>
  <c r="AC25"/>
  <c r="AE25" s="1"/>
  <c r="X25"/>
  <c r="Z25" s="1"/>
  <c r="Q25"/>
  <c r="S25" s="1"/>
  <c r="O25"/>
  <c r="J25"/>
  <c r="K25" s="1"/>
  <c r="M25" s="1"/>
  <c r="E25"/>
  <c r="F25" s="1"/>
  <c r="H25" s="1"/>
  <c r="AC24"/>
  <c r="AG24" s="1"/>
  <c r="X24"/>
  <c r="Z24" s="1"/>
  <c r="Q24"/>
  <c r="S24" s="1"/>
  <c r="O24"/>
  <c r="J24"/>
  <c r="K24" s="1"/>
  <c r="M24" s="1"/>
  <c r="E24"/>
  <c r="F24" s="1"/>
  <c r="H24" s="1"/>
  <c r="AC23"/>
  <c r="AE41" s="1"/>
  <c r="X23"/>
  <c r="Z23" s="1"/>
  <c r="Q23"/>
  <c r="S23" s="1"/>
  <c r="O23"/>
  <c r="J23"/>
  <c r="K23" s="1"/>
  <c r="M23" s="1"/>
  <c r="E23"/>
  <c r="F23" s="1"/>
  <c r="H23" s="1"/>
  <c r="AC22"/>
  <c r="AE22" s="1"/>
  <c r="Y22"/>
  <c r="X22"/>
  <c r="R22"/>
  <c r="Q22"/>
  <c r="O22"/>
  <c r="J22"/>
  <c r="K22" s="1"/>
  <c r="M22" s="1"/>
  <c r="E22"/>
  <c r="F22" s="1"/>
  <c r="H22" s="1"/>
  <c r="AC21"/>
  <c r="AE21" s="1"/>
  <c r="X21"/>
  <c r="Z21" s="1"/>
  <c r="Q21"/>
  <c r="S21" s="1"/>
  <c r="O21"/>
  <c r="J21"/>
  <c r="K21" s="1"/>
  <c r="M21" s="1"/>
  <c r="E21"/>
  <c r="F21" s="1"/>
  <c r="H21" s="1"/>
  <c r="AC20"/>
  <c r="AG20" s="1"/>
  <c r="X20"/>
  <c r="Z20" s="1"/>
  <c r="Q20"/>
  <c r="S20" s="1"/>
  <c r="O20"/>
  <c r="J20"/>
  <c r="K20" s="1"/>
  <c r="M20" s="1"/>
  <c r="E20"/>
  <c r="F20" s="1"/>
  <c r="H20" s="1"/>
  <c r="AC19"/>
  <c r="AE19" s="1"/>
  <c r="X19"/>
  <c r="Z19" s="1"/>
  <c r="Q19"/>
  <c r="S19" s="1"/>
  <c r="O19"/>
  <c r="J19"/>
  <c r="K19" s="1"/>
  <c r="M19" s="1"/>
  <c r="E19"/>
  <c r="F19" s="1"/>
  <c r="H19" s="1"/>
  <c r="AH18"/>
  <c r="AC18"/>
  <c r="AE42" s="1"/>
  <c r="X18"/>
  <c r="Z18" s="1"/>
  <c r="Q18"/>
  <c r="S18" s="1"/>
  <c r="O18"/>
  <c r="J18"/>
  <c r="K18" s="1"/>
  <c r="M18" s="1"/>
  <c r="E18"/>
  <c r="F18" s="1"/>
  <c r="H18" s="1"/>
  <c r="AC17"/>
  <c r="AG17" s="1"/>
  <c r="X17"/>
  <c r="Z17" s="1"/>
  <c r="Q17"/>
  <c r="S17" s="1"/>
  <c r="O17"/>
  <c r="J17"/>
  <c r="K17" s="1"/>
  <c r="M17" s="1"/>
  <c r="E17"/>
  <c r="F17" s="1"/>
  <c r="H17" s="1"/>
  <c r="AI16"/>
  <c r="AC16"/>
  <c r="AG16" s="1"/>
  <c r="X16"/>
  <c r="Z16" s="1"/>
  <c r="Q16"/>
  <c r="S16" s="1"/>
  <c r="O16"/>
  <c r="J16"/>
  <c r="K16" s="1"/>
  <c r="M16" s="1"/>
  <c r="E16"/>
  <c r="F16" s="1"/>
  <c r="H16" s="1"/>
  <c r="AC15"/>
  <c r="AG15" s="1"/>
  <c r="X15"/>
  <c r="Z15" s="1"/>
  <c r="Q15"/>
  <c r="S15" s="1"/>
  <c r="O15"/>
  <c r="J15"/>
  <c r="K15" s="1"/>
  <c r="M15" s="1"/>
  <c r="E15"/>
  <c r="F15" s="1"/>
  <c r="H15" s="1"/>
  <c r="AC14"/>
  <c r="AG14" s="1"/>
  <c r="X14"/>
  <c r="Z14" s="1"/>
  <c r="Q14"/>
  <c r="S14" s="1"/>
  <c r="O14"/>
  <c r="J14"/>
  <c r="K14" s="1"/>
  <c r="M14" s="1"/>
  <c r="E14"/>
  <c r="F14" s="1"/>
  <c r="H14" s="1"/>
  <c r="AC13"/>
  <c r="AG13" s="1"/>
  <c r="X13"/>
  <c r="Z13" s="1"/>
  <c r="Q13"/>
  <c r="S13" s="1"/>
  <c r="O13"/>
  <c r="J13"/>
  <c r="K13" s="1"/>
  <c r="M13" s="1"/>
  <c r="E13"/>
  <c r="F13" s="1"/>
  <c r="H13" s="1"/>
  <c r="AC12"/>
  <c r="AE12" s="1"/>
  <c r="X12"/>
  <c r="Z12" s="1"/>
  <c r="Q12"/>
  <c r="S12" s="1"/>
  <c r="O12"/>
  <c r="J12"/>
  <c r="K12" s="1"/>
  <c r="M12" s="1"/>
  <c r="E12"/>
  <c r="F12" s="1"/>
  <c r="H12" s="1"/>
  <c r="AC11"/>
  <c r="AG11" s="1"/>
  <c r="X11"/>
  <c r="Z11" s="1"/>
  <c r="Q11"/>
  <c r="S11" s="1"/>
  <c r="O11"/>
  <c r="K11"/>
  <c r="M11" s="1"/>
  <c r="J11"/>
  <c r="E11"/>
  <c r="F11" s="1"/>
  <c r="H11" s="1"/>
  <c r="AC10"/>
  <c r="AG10" s="1"/>
  <c r="Z10"/>
  <c r="X10"/>
  <c r="Q10"/>
  <c r="S10" s="1"/>
  <c r="O10"/>
  <c r="J10"/>
  <c r="K10" s="1"/>
  <c r="E10"/>
  <c r="F10" s="1"/>
  <c r="AG9"/>
  <c r="AE9"/>
  <c r="AC9"/>
  <c r="X9"/>
  <c r="Z9" s="1"/>
  <c r="Q9"/>
  <c r="S9" s="1"/>
  <c r="O9"/>
  <c r="J9"/>
  <c r="K9" s="1"/>
  <c r="E9"/>
  <c r="F9" s="1"/>
  <c r="AC8"/>
  <c r="AG8" s="1"/>
  <c r="Z8"/>
  <c r="X8"/>
  <c r="Q8"/>
  <c r="S8" s="1"/>
  <c r="O8"/>
  <c r="J8"/>
  <c r="K8" s="1"/>
  <c r="E8"/>
  <c r="F8" s="1"/>
  <c r="AC7"/>
  <c r="AG7" s="1"/>
  <c r="X7"/>
  <c r="Z7" s="1"/>
  <c r="Q7"/>
  <c r="S7" s="1"/>
  <c r="O7"/>
  <c r="J7"/>
  <c r="K7" s="1"/>
  <c r="E7"/>
  <c r="F7" s="1"/>
  <c r="AC6"/>
  <c r="AG6" s="1"/>
  <c r="X6"/>
  <c r="Z6" s="1"/>
  <c r="Q6"/>
  <c r="S6" s="1"/>
  <c r="O6"/>
  <c r="J6"/>
  <c r="K6" s="1"/>
  <c r="E6"/>
  <c r="F6" s="1"/>
  <c r="O175" i="15"/>
  <c r="H117" i="17"/>
  <c r="L117" s="1"/>
  <c r="P112"/>
  <c r="B110"/>
  <c r="G102"/>
  <c r="C102"/>
  <c r="G99"/>
  <c r="C99"/>
  <c r="D92"/>
  <c r="C92"/>
  <c r="L78"/>
  <c r="G65"/>
  <c r="D65"/>
  <c r="B65"/>
  <c r="G63"/>
  <c r="B63"/>
  <c r="E20"/>
  <c r="E22" s="1"/>
  <c r="E24" s="1"/>
  <c r="B61"/>
  <c r="H61" s="1"/>
  <c r="K61" s="1"/>
  <c r="G58"/>
  <c r="G92" s="1"/>
  <c r="E58"/>
  <c r="C58"/>
  <c r="G56"/>
  <c r="E16" s="1"/>
  <c r="C56"/>
  <c r="G54"/>
  <c r="E14" s="1"/>
  <c r="C54"/>
  <c r="G52"/>
  <c r="E12" s="1"/>
  <c r="C52"/>
  <c r="G49"/>
  <c r="E10" s="1"/>
  <c r="C49"/>
  <c r="B49"/>
  <c r="G47"/>
  <c r="E8" s="1"/>
  <c r="C47"/>
  <c r="B47"/>
  <c r="G45"/>
  <c r="C45"/>
  <c r="B45"/>
  <c r="G43"/>
  <c r="C43"/>
  <c r="B43"/>
  <c r="F41"/>
  <c r="C41"/>
  <c r="B41"/>
  <c r="E18"/>
  <c r="F9"/>
  <c r="E9"/>
  <c r="E7"/>
  <c r="E6"/>
  <c r="E5"/>
  <c r="D46" i="16"/>
  <c r="D48" s="1"/>
  <c r="R251" i="15"/>
  <c r="AB247"/>
  <c r="R247"/>
  <c r="R237"/>
  <c r="R244" s="1"/>
  <c r="AH219"/>
  <c r="H219"/>
  <c r="AE208"/>
  <c r="H208"/>
  <c r="P205"/>
  <c r="J205"/>
  <c r="P204"/>
  <c r="J204"/>
  <c r="P203"/>
  <c r="J203"/>
  <c r="T200"/>
  <c r="S200"/>
  <c r="R200"/>
  <c r="Q200"/>
  <c r="P200"/>
  <c r="O200"/>
  <c r="N200"/>
  <c r="M200"/>
  <c r="L200"/>
  <c r="K200"/>
  <c r="J200"/>
  <c r="I200"/>
  <c r="AH199"/>
  <c r="AH200" s="1"/>
  <c r="H199"/>
  <c r="H200" s="1"/>
  <c r="AE195"/>
  <c r="N195"/>
  <c r="M195"/>
  <c r="Q194"/>
  <c r="AH193"/>
  <c r="P193"/>
  <c r="O193"/>
  <c r="J193"/>
  <c r="R195"/>
  <c r="L18" i="20" s="1"/>
  <c r="AH191" i="15"/>
  <c r="P191"/>
  <c r="O191"/>
  <c r="J191"/>
  <c r="AH190"/>
  <c r="P190"/>
  <c r="O190"/>
  <c r="J190"/>
  <c r="AH189"/>
  <c r="P189"/>
  <c r="O189"/>
  <c r="J189"/>
  <c r="AH188"/>
  <c r="Q188"/>
  <c r="S188" s="1"/>
  <c r="AH187"/>
  <c r="P187"/>
  <c r="L187"/>
  <c r="L195" s="1"/>
  <c r="J187"/>
  <c r="AH182"/>
  <c r="T182"/>
  <c r="R182"/>
  <c r="P182"/>
  <c r="O182"/>
  <c r="N182"/>
  <c r="M182"/>
  <c r="L182"/>
  <c r="K182"/>
  <c r="J182"/>
  <c r="I182"/>
  <c r="Q181"/>
  <c r="Q182" s="1"/>
  <c r="AE177"/>
  <c r="T177"/>
  <c r="R177"/>
  <c r="L17" i="20" s="1"/>
  <c r="N177" i="15"/>
  <c r="M177"/>
  <c r="H176"/>
  <c r="P175"/>
  <c r="J175"/>
  <c r="AH174"/>
  <c r="P174"/>
  <c r="O174"/>
  <c r="J174"/>
  <c r="O173"/>
  <c r="L173"/>
  <c r="J173"/>
  <c r="AH172"/>
  <c r="P172"/>
  <c r="O172"/>
  <c r="J172"/>
  <c r="AH171"/>
  <c r="P171"/>
  <c r="O171"/>
  <c r="J171"/>
  <c r="AH170"/>
  <c r="P170"/>
  <c r="O170"/>
  <c r="J170"/>
  <c r="P169"/>
  <c r="O169"/>
  <c r="J169"/>
  <c r="AH168"/>
  <c r="P168"/>
  <c r="O168"/>
  <c r="L168"/>
  <c r="L177" s="1"/>
  <c r="J168"/>
  <c r="AH164"/>
  <c r="T164"/>
  <c r="R164"/>
  <c r="P164"/>
  <c r="O164"/>
  <c r="N164"/>
  <c r="M164"/>
  <c r="L164"/>
  <c r="K164"/>
  <c r="J164"/>
  <c r="I164"/>
  <c r="Q163"/>
  <c r="AE159"/>
  <c r="T159"/>
  <c r="O159"/>
  <c r="N159"/>
  <c r="H159"/>
  <c r="P158"/>
  <c r="AH157"/>
  <c r="P157"/>
  <c r="L157"/>
  <c r="P154"/>
  <c r="J154"/>
  <c r="AH153"/>
  <c r="P153"/>
  <c r="L153"/>
  <c r="AH152"/>
  <c r="P152"/>
  <c r="J152"/>
  <c r="P151"/>
  <c r="M151"/>
  <c r="M159" s="1"/>
  <c r="L151"/>
  <c r="J151"/>
  <c r="AE147"/>
  <c r="T147"/>
  <c r="R147"/>
  <c r="P147"/>
  <c r="O147"/>
  <c r="N147"/>
  <c r="M147"/>
  <c r="L147"/>
  <c r="K147"/>
  <c r="J147"/>
  <c r="I147"/>
  <c r="AH146"/>
  <c r="Q146"/>
  <c r="Q147" s="1"/>
  <c r="AE142"/>
  <c r="T142"/>
  <c r="M142"/>
  <c r="P141"/>
  <c r="O141"/>
  <c r="O142" s="1"/>
  <c r="J141"/>
  <c r="Q140"/>
  <c r="P139"/>
  <c r="L139"/>
  <c r="L142" s="1"/>
  <c r="J139"/>
  <c r="AH138"/>
  <c r="P138"/>
  <c r="Q137"/>
  <c r="S137" s="1"/>
  <c r="Q136"/>
  <c r="S136" s="1"/>
  <c r="P135"/>
  <c r="J135"/>
  <c r="AH134"/>
  <c r="P134"/>
  <c r="J134"/>
  <c r="T127"/>
  <c r="M127"/>
  <c r="H127"/>
  <c r="P126"/>
  <c r="O126"/>
  <c r="J126"/>
  <c r="P125"/>
  <c r="O125"/>
  <c r="J125"/>
  <c r="Q123"/>
  <c r="S123" s="1"/>
  <c r="P122"/>
  <c r="O122"/>
  <c r="J122"/>
  <c r="R127"/>
  <c r="L14" i="20" s="1"/>
  <c r="P121" i="15"/>
  <c r="N127"/>
  <c r="J121"/>
  <c r="P120"/>
  <c r="O120"/>
  <c r="J120"/>
  <c r="Q118"/>
  <c r="S118" s="1"/>
  <c r="AH113"/>
  <c r="P113"/>
  <c r="O113"/>
  <c r="L113"/>
  <c r="J113"/>
  <c r="AH112"/>
  <c r="P112"/>
  <c r="O112"/>
  <c r="J112"/>
  <c r="AH111"/>
  <c r="P111"/>
  <c r="O111"/>
  <c r="L111"/>
  <c r="J111"/>
  <c r="AH107"/>
  <c r="AE107"/>
  <c r="Q106"/>
  <c r="AH102"/>
  <c r="T102"/>
  <c r="R102"/>
  <c r="O102"/>
  <c r="N102"/>
  <c r="M102"/>
  <c r="L102"/>
  <c r="H102"/>
  <c r="P101"/>
  <c r="J101"/>
  <c r="P100"/>
  <c r="J100"/>
  <c r="AH96"/>
  <c r="T96"/>
  <c r="R96"/>
  <c r="P96"/>
  <c r="O96"/>
  <c r="N96"/>
  <c r="M96"/>
  <c r="L96"/>
  <c r="K96"/>
  <c r="J96"/>
  <c r="H96"/>
  <c r="Q95"/>
  <c r="Q96" s="1"/>
  <c r="T91"/>
  <c r="R91"/>
  <c r="H91"/>
  <c r="AH90"/>
  <c r="P90"/>
  <c r="L90"/>
  <c r="J90"/>
  <c r="AH89"/>
  <c r="P88"/>
  <c r="M88"/>
  <c r="M91" s="1"/>
  <c r="J88"/>
  <c r="P87"/>
  <c r="O87"/>
  <c r="L87"/>
  <c r="J87"/>
  <c r="AH86"/>
  <c r="P86"/>
  <c r="N91"/>
  <c r="L86"/>
  <c r="J86"/>
  <c r="AH82"/>
  <c r="T82"/>
  <c r="H82"/>
  <c r="AE75"/>
  <c r="T75"/>
  <c r="N75"/>
  <c r="M75"/>
  <c r="R75"/>
  <c r="P74"/>
  <c r="O74"/>
  <c r="J74"/>
  <c r="P73"/>
  <c r="O73"/>
  <c r="J73"/>
  <c r="Q72"/>
  <c r="S72" s="1"/>
  <c r="Q69"/>
  <c r="H69" s="1"/>
  <c r="H75" s="1"/>
  <c r="P68"/>
  <c r="J68"/>
  <c r="P67"/>
  <c r="J67"/>
  <c r="AH66"/>
  <c r="AH75" s="1"/>
  <c r="P66"/>
  <c r="L66"/>
  <c r="L75" s="1"/>
  <c r="J66"/>
  <c r="AH61"/>
  <c r="AE61"/>
  <c r="T61"/>
  <c r="R61"/>
  <c r="P61"/>
  <c r="O61"/>
  <c r="N61"/>
  <c r="M61"/>
  <c r="L61"/>
  <c r="K61"/>
  <c r="J61"/>
  <c r="I61"/>
  <c r="Q60"/>
  <c r="Q61" s="1"/>
  <c r="AH55"/>
  <c r="T55"/>
  <c r="R55"/>
  <c r="O55"/>
  <c r="N55"/>
  <c r="H55"/>
  <c r="P54"/>
  <c r="L54"/>
  <c r="J54"/>
  <c r="P53"/>
  <c r="M53"/>
  <c r="J53"/>
  <c r="P52"/>
  <c r="M52"/>
  <c r="L52"/>
  <c r="J52"/>
  <c r="P51"/>
  <c r="M51"/>
  <c r="J51"/>
  <c r="AH47"/>
  <c r="AE47"/>
  <c r="T47"/>
  <c r="R47"/>
  <c r="P47"/>
  <c r="O47"/>
  <c r="N47"/>
  <c r="M47"/>
  <c r="L47"/>
  <c r="K47"/>
  <c r="J47"/>
  <c r="I47"/>
  <c r="H47"/>
  <c r="Q46"/>
  <c r="S46" s="1"/>
  <c r="S47" s="1"/>
  <c r="AE42"/>
  <c r="T42"/>
  <c r="H42"/>
  <c r="P41"/>
  <c r="O41"/>
  <c r="O42" s="1"/>
  <c r="J41"/>
  <c r="P39"/>
  <c r="M39"/>
  <c r="M42" s="1"/>
  <c r="L39"/>
  <c r="J39"/>
  <c r="R38"/>
  <c r="P38"/>
  <c r="P37"/>
  <c r="J37"/>
  <c r="AH35"/>
  <c r="AH42" s="1"/>
  <c r="P35"/>
  <c r="N35"/>
  <c r="N42" s="1"/>
  <c r="J35"/>
  <c r="P34"/>
  <c r="J34"/>
  <c r="AE29"/>
  <c r="T29"/>
  <c r="R29"/>
  <c r="L29"/>
  <c r="N29"/>
  <c r="M29"/>
  <c r="AH26"/>
  <c r="AH29" s="1"/>
  <c r="O29"/>
  <c r="AH25"/>
  <c r="T25"/>
  <c r="R25"/>
  <c r="O25"/>
  <c r="N25"/>
  <c r="M25"/>
  <c r="L25"/>
  <c r="K25"/>
  <c r="H25"/>
  <c r="P25"/>
  <c r="Q24"/>
  <c r="AH22"/>
  <c r="T22"/>
  <c r="R22"/>
  <c r="P22"/>
  <c r="O22"/>
  <c r="N22"/>
  <c r="M22"/>
  <c r="L22"/>
  <c r="K22"/>
  <c r="J22"/>
  <c r="H22"/>
  <c r="Q22"/>
  <c r="T17"/>
  <c r="O17"/>
  <c r="N17"/>
  <c r="H16"/>
  <c r="Q14"/>
  <c r="P12"/>
  <c r="M12"/>
  <c r="L12"/>
  <c r="J12"/>
  <c r="P11"/>
  <c r="J11"/>
  <c r="AH10"/>
  <c r="Q10"/>
  <c r="H10" s="1"/>
  <c r="P9"/>
  <c r="J9"/>
  <c r="P8"/>
  <c r="M8"/>
  <c r="J8"/>
  <c r="AH7"/>
  <c r="R17"/>
  <c r="P7"/>
  <c r="L7"/>
  <c r="AE7" i="18" l="1"/>
  <c r="L70" i="17"/>
  <c r="AE6" i="18"/>
  <c r="AG12"/>
  <c r="AE44"/>
  <c r="AI88" i="19"/>
  <c r="AJ49"/>
  <c r="J70" i="17"/>
  <c r="M70" s="1"/>
  <c r="N70" s="1"/>
  <c r="F30" s="1"/>
  <c r="H30" s="1"/>
  <c r="K30" s="1"/>
  <c r="I70"/>
  <c r="AG26" i="18"/>
  <c r="AF88" i="19"/>
  <c r="AF49"/>
  <c r="J151" i="17"/>
  <c r="I151"/>
  <c r="L151"/>
  <c r="K151"/>
  <c r="L127"/>
  <c r="K127"/>
  <c r="J127"/>
  <c r="M134"/>
  <c r="N134" s="1"/>
  <c r="J20" s="1"/>
  <c r="I140"/>
  <c r="J140"/>
  <c r="K140"/>
  <c r="L140"/>
  <c r="AH177" i="15"/>
  <c r="P75"/>
  <c r="J208"/>
  <c r="H52" i="17"/>
  <c r="J52" s="1"/>
  <c r="H56"/>
  <c r="J56" s="1"/>
  <c r="AG19" i="18"/>
  <c r="S22"/>
  <c r="S29" s="1"/>
  <c r="P34" s="1"/>
  <c r="AG44"/>
  <c r="AH47" s="1"/>
  <c r="AG46"/>
  <c r="AG45"/>
  <c r="Q25" i="15"/>
  <c r="S24"/>
  <c r="P208"/>
  <c r="C110" i="17"/>
  <c r="H110" s="1"/>
  <c r="I206" i="15"/>
  <c r="Q206" s="1"/>
  <c r="N132" i="17"/>
  <c r="K208" i="15"/>
  <c r="L125" i="17"/>
  <c r="I125"/>
  <c r="L138"/>
  <c r="I138"/>
  <c r="K138"/>
  <c r="J138"/>
  <c r="I77"/>
  <c r="L77"/>
  <c r="J77"/>
  <c r="O29" i="18"/>
  <c r="AE10"/>
  <c r="H75" i="17"/>
  <c r="J17" i="15"/>
  <c r="J142"/>
  <c r="AE8" i="18"/>
  <c r="AE14"/>
  <c r="AG25"/>
  <c r="S50"/>
  <c r="J68" i="17"/>
  <c r="J125"/>
  <c r="I68"/>
  <c r="AH17" i="15"/>
  <c r="AE13" i="18"/>
  <c r="M17" i="15"/>
  <c r="P142"/>
  <c r="K49" i="19"/>
  <c r="H48"/>
  <c r="I36" i="15"/>
  <c r="K102"/>
  <c r="Q104"/>
  <c r="Q107" s="1"/>
  <c r="I107"/>
  <c r="K48" i="19"/>
  <c r="T225" i="15"/>
  <c r="K142"/>
  <c r="P54" i="19"/>
  <c r="S54"/>
  <c r="I119" i="15" s="1"/>
  <c r="P52" i="19"/>
  <c r="S52"/>
  <c r="P53"/>
  <c r="S53"/>
  <c r="U53" s="1"/>
  <c r="I48"/>
  <c r="X10"/>
  <c r="U4"/>
  <c r="Q214" i="15"/>
  <c r="S92" i="19"/>
  <c r="I154" i="15" s="1"/>
  <c r="Q154" s="1"/>
  <c r="S154" s="1"/>
  <c r="S83" i="19"/>
  <c r="I122" i="15" s="1"/>
  <c r="Q122" s="1"/>
  <c r="S122" s="1"/>
  <c r="P14" i="19"/>
  <c r="S66"/>
  <c r="I205" i="15" s="1"/>
  <c r="Q205" s="1"/>
  <c r="S205" s="1"/>
  <c r="K28"/>
  <c r="K36" s="1"/>
  <c r="K42" s="1"/>
  <c r="AJ50" i="19"/>
  <c r="AI50"/>
  <c r="AF50"/>
  <c r="S70"/>
  <c r="I175" i="15" s="1"/>
  <c r="Q175" s="1"/>
  <c r="S175" s="1"/>
  <c r="P70" i="19"/>
  <c r="X20"/>
  <c r="U14"/>
  <c r="P10"/>
  <c r="S43"/>
  <c r="W43" s="1"/>
  <c r="S39"/>
  <c r="I53" i="15" s="1"/>
  <c r="Q53" s="1"/>
  <c r="S53" s="1"/>
  <c r="P26" i="19"/>
  <c r="X14"/>
  <c r="S47"/>
  <c r="I120" i="15" s="1"/>
  <c r="Q120" s="1"/>
  <c r="S120" s="1"/>
  <c r="S18" i="19"/>
  <c r="I187" i="15" s="1"/>
  <c r="Q187" s="1"/>
  <c r="P22" i="19"/>
  <c r="Q152" i="15"/>
  <c r="S152" s="1"/>
  <c r="W10" i="19"/>
  <c r="W14"/>
  <c r="U10"/>
  <c r="K75" i="15"/>
  <c r="S72" i="19"/>
  <c r="T72" s="1"/>
  <c r="P72"/>
  <c r="S27"/>
  <c r="I170" i="15" s="1"/>
  <c r="Q170" s="1"/>
  <c r="S170" s="1"/>
  <c r="S42" i="19"/>
  <c r="I114" i="15" s="1"/>
  <c r="P21" i="19"/>
  <c r="P38"/>
  <c r="P13"/>
  <c r="Q121" i="15"/>
  <c r="S121" s="1"/>
  <c r="S10"/>
  <c r="Q193"/>
  <c r="S193" s="1"/>
  <c r="K195"/>
  <c r="W51" i="19"/>
  <c r="U51"/>
  <c r="X51"/>
  <c r="T51"/>
  <c r="P82"/>
  <c r="S82"/>
  <c r="Q138" i="15" s="1"/>
  <c r="S138" s="1"/>
  <c r="P78" i="19"/>
  <c r="S78"/>
  <c r="Q203" i="15"/>
  <c r="S76" i="19"/>
  <c r="Q168" i="15" s="1"/>
  <c r="Q74"/>
  <c r="S74" s="1"/>
  <c r="W19" i="19"/>
  <c r="S34"/>
  <c r="W34" s="1"/>
  <c r="P61"/>
  <c r="AJ45"/>
  <c r="AJ106" s="1"/>
  <c r="W6"/>
  <c r="S30"/>
  <c r="I174" i="15" s="1"/>
  <c r="Q174" s="1"/>
  <c r="S174" s="1"/>
  <c r="X6" i="19"/>
  <c r="AE106"/>
  <c r="K127" i="15"/>
  <c r="K159"/>
  <c r="P50" i="19"/>
  <c r="P68"/>
  <c r="S68"/>
  <c r="I126" i="15" s="1"/>
  <c r="Q126" s="1"/>
  <c r="S126" s="1"/>
  <c r="S81" i="19"/>
  <c r="Q38" i="15" s="1"/>
  <c r="P81" i="19"/>
  <c r="S73"/>
  <c r="W73" s="1"/>
  <c r="P73"/>
  <c r="S69"/>
  <c r="I34" i="15" s="1"/>
  <c r="Q34" s="1"/>
  <c r="P69" i="19"/>
  <c r="Q67" i="15"/>
  <c r="S67" s="1"/>
  <c r="Q73"/>
  <c r="S73" s="1"/>
  <c r="P19" i="19"/>
  <c r="U19"/>
  <c r="I49"/>
  <c r="P77"/>
  <c r="P60"/>
  <c r="X19"/>
  <c r="L49"/>
  <c r="AF45"/>
  <c r="Q192" i="15"/>
  <c r="S192" s="1"/>
  <c r="P74" i="19"/>
  <c r="AI45"/>
  <c r="K55" i="15"/>
  <c r="S12" i="19"/>
  <c r="X12" s="1"/>
  <c r="Q89" i="15"/>
  <c r="S89" s="1"/>
  <c r="K177"/>
  <c r="Q169"/>
  <c r="S169" s="1"/>
  <c r="Q68"/>
  <c r="S68" s="1"/>
  <c r="K91"/>
  <c r="K77" i="17"/>
  <c r="M77" s="1"/>
  <c r="N77" s="1"/>
  <c r="F36" s="1"/>
  <c r="H36" s="1"/>
  <c r="K36" s="1"/>
  <c r="F55" i="16" s="1"/>
  <c r="H72" i="17"/>
  <c r="H65"/>
  <c r="L65" s="1"/>
  <c r="M68"/>
  <c r="N68" s="1"/>
  <c r="F29" s="1"/>
  <c r="H29" s="1"/>
  <c r="K29" s="1"/>
  <c r="H45"/>
  <c r="P100" i="19"/>
  <c r="S100"/>
  <c r="I86" i="15" s="1"/>
  <c r="Q86" s="1"/>
  <c r="P80" i="19"/>
  <c r="S80"/>
  <c r="I173" i="15" s="1"/>
  <c r="Q173" s="1"/>
  <c r="P17"/>
  <c r="AH159"/>
  <c r="Q191"/>
  <c r="S191" s="1"/>
  <c r="H43" i="17"/>
  <c r="J43" s="1"/>
  <c r="AE11" i="18"/>
  <c r="AE16"/>
  <c r="AG18"/>
  <c r="AG21"/>
  <c r="Z22"/>
  <c r="I95" i="19"/>
  <c r="AG23" i="18"/>
  <c r="L95" i="19"/>
  <c r="W4"/>
  <c r="X4"/>
  <c r="S5"/>
  <c r="U5" s="1"/>
  <c r="P55" i="15"/>
  <c r="L91"/>
  <c r="AH91"/>
  <c r="J102"/>
  <c r="M29" i="18"/>
  <c r="L17" i="15"/>
  <c r="J29"/>
  <c r="P102"/>
  <c r="L127"/>
  <c r="AE15" i="18"/>
  <c r="AE23"/>
  <c r="AG28"/>
  <c r="AE18"/>
  <c r="P4" i="19"/>
  <c r="U6"/>
  <c r="Q157" i="15"/>
  <c r="S157" s="1"/>
  <c r="S95"/>
  <c r="S96" s="1"/>
  <c r="AJ96" s="1"/>
  <c r="Q111"/>
  <c r="O127"/>
  <c r="AH195"/>
  <c r="V200"/>
  <c r="AA200" s="1"/>
  <c r="S21"/>
  <c r="S22" s="1"/>
  <c r="V22" s="1"/>
  <c r="M55"/>
  <c r="M225" s="1"/>
  <c r="P91"/>
  <c r="P195"/>
  <c r="H188"/>
  <c r="R250"/>
  <c r="R253" s="1"/>
  <c r="AH127"/>
  <c r="Q113"/>
  <c r="S113" s="1"/>
  <c r="H136"/>
  <c r="P177"/>
  <c r="R42"/>
  <c r="L7" i="20" s="1"/>
  <c r="Q8" i="15"/>
  <c r="S8" s="1"/>
  <c r="Q28"/>
  <c r="H60"/>
  <c r="H61" s="1"/>
  <c r="S60"/>
  <c r="S61" s="1"/>
  <c r="Z61" s="1"/>
  <c r="J75"/>
  <c r="O75"/>
  <c r="O91"/>
  <c r="P127"/>
  <c r="AH142"/>
  <c r="AH147" s="1"/>
  <c r="H146"/>
  <c r="H147" s="1"/>
  <c r="S146"/>
  <c r="S147" s="1"/>
  <c r="AJ147" s="1"/>
  <c r="L159"/>
  <c r="O177"/>
  <c r="H181"/>
  <c r="H182" s="1"/>
  <c r="S181"/>
  <c r="S182" s="1"/>
  <c r="AI182" s="1"/>
  <c r="AI200"/>
  <c r="X200"/>
  <c r="AD200" s="1"/>
  <c r="H137"/>
  <c r="Q41"/>
  <c r="S41" s="1"/>
  <c r="W102" i="19"/>
  <c r="T102"/>
  <c r="X102"/>
  <c r="U102"/>
  <c r="W98"/>
  <c r="T98"/>
  <c r="X98"/>
  <c r="U98"/>
  <c r="W90"/>
  <c r="T90"/>
  <c r="X90"/>
  <c r="U90"/>
  <c r="K45"/>
  <c r="H45"/>
  <c r="L60"/>
  <c r="L45"/>
  <c r="I45"/>
  <c r="X104"/>
  <c r="U104"/>
  <c r="W104"/>
  <c r="T104"/>
  <c r="X101"/>
  <c r="U101"/>
  <c r="W101"/>
  <c r="T101"/>
  <c r="X97"/>
  <c r="U97"/>
  <c r="W97"/>
  <c r="T97"/>
  <c r="X26"/>
  <c r="U26"/>
  <c r="X31"/>
  <c r="W26"/>
  <c r="T26"/>
  <c r="S23"/>
  <c r="I204" i="15" s="1"/>
  <c r="P23" i="19"/>
  <c r="W61"/>
  <c r="T61"/>
  <c r="X61"/>
  <c r="U61"/>
  <c r="X38"/>
  <c r="U38"/>
  <c r="W38"/>
  <c r="T38"/>
  <c r="W105"/>
  <c r="T105"/>
  <c r="X105"/>
  <c r="U105"/>
  <c r="W96"/>
  <c r="T96"/>
  <c r="X96"/>
  <c r="U96"/>
  <c r="X93"/>
  <c r="U93"/>
  <c r="W93"/>
  <c r="T93"/>
  <c r="T92"/>
  <c r="W87"/>
  <c r="T87"/>
  <c r="X87"/>
  <c r="U87"/>
  <c r="W74"/>
  <c r="T74"/>
  <c r="X74"/>
  <c r="U74"/>
  <c r="X94"/>
  <c r="U94"/>
  <c r="W94"/>
  <c r="T94"/>
  <c r="X88"/>
  <c r="U88"/>
  <c r="W88"/>
  <c r="T88"/>
  <c r="X77"/>
  <c r="U77"/>
  <c r="W77"/>
  <c r="T77"/>
  <c r="X70"/>
  <c r="X65"/>
  <c r="U65"/>
  <c r="W65"/>
  <c r="T65"/>
  <c r="U60"/>
  <c r="W60"/>
  <c r="T60"/>
  <c r="X46"/>
  <c r="U46"/>
  <c r="W46"/>
  <c r="T46"/>
  <c r="W35"/>
  <c r="T35"/>
  <c r="X35"/>
  <c r="U35"/>
  <c r="S21"/>
  <c r="I190" i="15" s="1"/>
  <c r="Q190" s="1"/>
  <c r="S190" s="1"/>
  <c r="W31" i="19"/>
  <c r="T31"/>
  <c r="U31"/>
  <c r="W13"/>
  <c r="T13"/>
  <c r="U13"/>
  <c r="X13"/>
  <c r="W9"/>
  <c r="T9"/>
  <c r="U9"/>
  <c r="X9"/>
  <c r="X27"/>
  <c r="W22"/>
  <c r="T22"/>
  <c r="U22"/>
  <c r="G106"/>
  <c r="Z29" i="18"/>
  <c r="H29"/>
  <c r="AE17"/>
  <c r="AE20"/>
  <c r="AG22"/>
  <c r="AE24"/>
  <c r="AE27"/>
  <c r="H92" i="17"/>
  <c r="L92" s="1"/>
  <c r="H49"/>
  <c r="K49" s="1"/>
  <c r="H58"/>
  <c r="H102"/>
  <c r="H41"/>
  <c r="L41" s="1"/>
  <c r="H47"/>
  <c r="I47" s="1"/>
  <c r="H63"/>
  <c r="J63" s="1"/>
  <c r="H99"/>
  <c r="L99" s="1"/>
  <c r="P29" i="15"/>
  <c r="J42"/>
  <c r="S26"/>
  <c r="Q7"/>
  <c r="P42"/>
  <c r="X47"/>
  <c r="AD47" s="1"/>
  <c r="W47"/>
  <c r="AB47" s="1"/>
  <c r="AJ47"/>
  <c r="V47"/>
  <c r="AI47"/>
  <c r="Z47"/>
  <c r="Z96"/>
  <c r="Q9"/>
  <c r="S9" s="1"/>
  <c r="H14"/>
  <c r="H17" s="1"/>
  <c r="S14"/>
  <c r="AI61"/>
  <c r="L42"/>
  <c r="Q66"/>
  <c r="Q71"/>
  <c r="S71" s="1"/>
  <c r="Q47"/>
  <c r="Q54"/>
  <c r="S54" s="1"/>
  <c r="J55"/>
  <c r="S69"/>
  <c r="Q81"/>
  <c r="Q82" s="1"/>
  <c r="N225"/>
  <c r="Q90"/>
  <c r="S90" s="1"/>
  <c r="S106"/>
  <c r="J159"/>
  <c r="Q151"/>
  <c r="R159"/>
  <c r="L16" i="20" s="1"/>
  <c r="Q164" i="15"/>
  <c r="H163"/>
  <c r="H164" s="1"/>
  <c r="S163"/>
  <c r="S164" s="1"/>
  <c r="J177"/>
  <c r="O195"/>
  <c r="Q87"/>
  <c r="S87" s="1"/>
  <c r="J91"/>
  <c r="H177"/>
  <c r="L55"/>
  <c r="H106"/>
  <c r="H107" s="1"/>
  <c r="J127"/>
  <c r="S140"/>
  <c r="H140"/>
  <c r="J195"/>
  <c r="AJ200"/>
  <c r="Z200"/>
  <c r="W200"/>
  <c r="AB200" s="1"/>
  <c r="L56" i="17"/>
  <c r="P159" i="15"/>
  <c r="Q153"/>
  <c r="S153" s="1"/>
  <c r="S194"/>
  <c r="H194"/>
  <c r="K41" i="17"/>
  <c r="K45"/>
  <c r="I45"/>
  <c r="L45"/>
  <c r="J45"/>
  <c r="J61"/>
  <c r="L61"/>
  <c r="I61"/>
  <c r="I92"/>
  <c r="H54"/>
  <c r="J99"/>
  <c r="I99"/>
  <c r="I105"/>
  <c r="L105"/>
  <c r="K105"/>
  <c r="J105"/>
  <c r="I117"/>
  <c r="J117"/>
  <c r="K117"/>
  <c r="S119" i="15" l="1"/>
  <c r="S25"/>
  <c r="D56" i="16"/>
  <c r="L52" i="17"/>
  <c r="K99"/>
  <c r="K92"/>
  <c r="J41"/>
  <c r="T83" i="19"/>
  <c r="H106"/>
  <c r="M151" i="17"/>
  <c r="N151" s="1"/>
  <c r="N153" s="1"/>
  <c r="J92"/>
  <c r="I41"/>
  <c r="M127"/>
  <c r="N127" s="1"/>
  <c r="J18"/>
  <c r="Q29" i="15"/>
  <c r="L110" i="17"/>
  <c r="I110"/>
  <c r="S187" i="15"/>
  <c r="J110" i="17"/>
  <c r="S111" i="15"/>
  <c r="K110" i="17"/>
  <c r="I56"/>
  <c r="X83" i="19"/>
  <c r="Z195" i="15"/>
  <c r="AG195" s="1"/>
  <c r="I18" i="20" s="1"/>
  <c r="W53" i="19"/>
  <c r="I29" i="15"/>
  <c r="S206"/>
  <c r="M140" i="17"/>
  <c r="N140" s="1"/>
  <c r="J22" s="1"/>
  <c r="K56"/>
  <c r="I52"/>
  <c r="K52"/>
  <c r="L49"/>
  <c r="U54" i="19"/>
  <c r="Q133" i="15"/>
  <c r="S168"/>
  <c r="I208"/>
  <c r="M125" i="17"/>
  <c r="N125" s="1"/>
  <c r="J16" s="1"/>
  <c r="S203" i="15"/>
  <c r="C121" i="17"/>
  <c r="H121" s="1"/>
  <c r="M138"/>
  <c r="X52" i="19"/>
  <c r="C113" i="17"/>
  <c r="H113" s="1"/>
  <c r="X54" i="19"/>
  <c r="J49" i="17"/>
  <c r="W70" i="19"/>
  <c r="K106"/>
  <c r="L75" i="17"/>
  <c r="J75"/>
  <c r="K75"/>
  <c r="I75"/>
  <c r="L47"/>
  <c r="U92" i="19"/>
  <c r="X92"/>
  <c r="W54"/>
  <c r="T54"/>
  <c r="T53"/>
  <c r="H119" i="17"/>
  <c r="W52" i="19"/>
  <c r="W147" i="15"/>
  <c r="AB147" s="1"/>
  <c r="J225"/>
  <c r="S104"/>
  <c r="S107" s="1"/>
  <c r="C13" i="20" s="1"/>
  <c r="W182" i="15"/>
  <c r="AB182" s="1"/>
  <c r="X53" i="19"/>
  <c r="L225" i="15"/>
  <c r="R225"/>
  <c r="Q213"/>
  <c r="S213" s="1"/>
  <c r="W213" s="1"/>
  <c r="AB213" s="1"/>
  <c r="I115"/>
  <c r="Q115" s="1"/>
  <c r="I155"/>
  <c r="Q114"/>
  <c r="S114" s="1"/>
  <c r="AG200"/>
  <c r="AH225"/>
  <c r="P225"/>
  <c r="O225"/>
  <c r="Z147"/>
  <c r="X147"/>
  <c r="AD147" s="1"/>
  <c r="V61"/>
  <c r="L21" i="20"/>
  <c r="X211" i="15"/>
  <c r="AD211" s="1"/>
  <c r="S27"/>
  <c r="D57" i="16"/>
  <c r="U72" i="19"/>
  <c r="U18"/>
  <c r="T52"/>
  <c r="U39"/>
  <c r="U52"/>
  <c r="W39"/>
  <c r="W18"/>
  <c r="W66"/>
  <c r="S214" i="15"/>
  <c r="V214" s="1"/>
  <c r="V211"/>
  <c r="AA211" s="1"/>
  <c r="U70" i="19"/>
  <c r="S28" i="15"/>
  <c r="W211"/>
  <c r="AB211" s="1"/>
  <c r="Z211"/>
  <c r="W12" i="19"/>
  <c r="X42"/>
  <c r="AI106"/>
  <c r="U43"/>
  <c r="W47"/>
  <c r="AG106"/>
  <c r="U47"/>
  <c r="U66"/>
  <c r="X43"/>
  <c r="X66"/>
  <c r="T43"/>
  <c r="X100"/>
  <c r="X47"/>
  <c r="U34"/>
  <c r="T12"/>
  <c r="W27"/>
  <c r="T66"/>
  <c r="T100"/>
  <c r="T47"/>
  <c r="W83"/>
  <c r="W72"/>
  <c r="T18"/>
  <c r="X39"/>
  <c r="U83"/>
  <c r="T76"/>
  <c r="W92"/>
  <c r="T70"/>
  <c r="T78"/>
  <c r="W22" i="15"/>
  <c r="AB23" s="1"/>
  <c r="Z22"/>
  <c r="X22"/>
  <c r="AD22" s="1"/>
  <c r="W78" i="19"/>
  <c r="X72"/>
  <c r="U78"/>
  <c r="AF106"/>
  <c r="T39"/>
  <c r="X78"/>
  <c r="P12"/>
  <c r="AG29" i="18"/>
  <c r="AB36" s="1"/>
  <c r="AE29"/>
  <c r="W76" i="19"/>
  <c r="U27"/>
  <c r="U73"/>
  <c r="W42"/>
  <c r="W68"/>
  <c r="W30"/>
  <c r="L106"/>
  <c r="U82"/>
  <c r="T42"/>
  <c r="T68"/>
  <c r="T30"/>
  <c r="T27"/>
  <c r="X73"/>
  <c r="U42"/>
  <c r="X82"/>
  <c r="Q204" i="15"/>
  <c r="S204" s="1"/>
  <c r="T5" i="19"/>
  <c r="U69"/>
  <c r="U81"/>
  <c r="U80"/>
  <c r="U30"/>
  <c r="X34"/>
  <c r="T82"/>
  <c r="T73"/>
  <c r="U76"/>
  <c r="W80"/>
  <c r="U68"/>
  <c r="T34"/>
  <c r="W82"/>
  <c r="W50"/>
  <c r="X50"/>
  <c r="T50"/>
  <c r="U50"/>
  <c r="P37"/>
  <c r="S37"/>
  <c r="S75"/>
  <c r="P75"/>
  <c r="S32"/>
  <c r="P32"/>
  <c r="W5"/>
  <c r="X69"/>
  <c r="X81"/>
  <c r="S29"/>
  <c r="P29"/>
  <c r="S67"/>
  <c r="P67"/>
  <c r="S24"/>
  <c r="P24"/>
  <c r="S38" i="15"/>
  <c r="X5" i="19"/>
  <c r="T69"/>
  <c r="T81"/>
  <c r="X80"/>
  <c r="S64"/>
  <c r="P64"/>
  <c r="X18"/>
  <c r="U12"/>
  <c r="S48"/>
  <c r="P48"/>
  <c r="P16"/>
  <c r="S16"/>
  <c r="S34" i="15"/>
  <c r="W69" i="19"/>
  <c r="W81"/>
  <c r="T80"/>
  <c r="X68"/>
  <c r="I106"/>
  <c r="S45"/>
  <c r="P45"/>
  <c r="S40"/>
  <c r="P40"/>
  <c r="P7"/>
  <c r="S7"/>
  <c r="H59" i="17"/>
  <c r="K47"/>
  <c r="L72"/>
  <c r="I72"/>
  <c r="K72"/>
  <c r="I65"/>
  <c r="I43"/>
  <c r="J102"/>
  <c r="K102"/>
  <c r="L43"/>
  <c r="J72"/>
  <c r="I63"/>
  <c r="K63"/>
  <c r="L63"/>
  <c r="J58"/>
  <c r="K58"/>
  <c r="L58"/>
  <c r="I58"/>
  <c r="P41" i="19"/>
  <c r="S41"/>
  <c r="AJ61" i="15"/>
  <c r="AI96"/>
  <c r="S8" i="19"/>
  <c r="P8"/>
  <c r="S71"/>
  <c r="P71"/>
  <c r="AJ182" i="15"/>
  <c r="P33" i="19"/>
  <c r="S33"/>
  <c r="S99"/>
  <c r="I139" i="15" s="1"/>
  <c r="P99" i="19"/>
  <c r="J47" i="17"/>
  <c r="H50"/>
  <c r="Y182" i="15"/>
  <c r="AE182" s="1"/>
  <c r="I49" i="17"/>
  <c r="V147" i="15"/>
  <c r="AA147" s="1"/>
  <c r="AF147" s="1"/>
  <c r="X61"/>
  <c r="AD61" s="1"/>
  <c r="X96"/>
  <c r="AD96" s="1"/>
  <c r="W96"/>
  <c r="AB96" s="1"/>
  <c r="P32" i="18"/>
  <c r="P38" s="1"/>
  <c r="W100" i="19"/>
  <c r="P25"/>
  <c r="S25"/>
  <c r="P91"/>
  <c r="S91"/>
  <c r="P44"/>
  <c r="S44"/>
  <c r="P11"/>
  <c r="S11"/>
  <c r="S28"/>
  <c r="P28"/>
  <c r="W61" i="15"/>
  <c r="AB61" s="1"/>
  <c r="P95" i="19"/>
  <c r="S95"/>
  <c r="S62"/>
  <c r="P62"/>
  <c r="P20"/>
  <c r="S20"/>
  <c r="K43" i="17"/>
  <c r="Z182" i="15"/>
  <c r="AI147"/>
  <c r="V96"/>
  <c r="AA96" s="1"/>
  <c r="U100" i="19"/>
  <c r="S49"/>
  <c r="P49"/>
  <c r="S17"/>
  <c r="P17"/>
  <c r="P79"/>
  <c r="S79"/>
  <c r="P36"/>
  <c r="S36"/>
  <c r="H195" i="15"/>
  <c r="H142"/>
  <c r="X182"/>
  <c r="AD182" s="1"/>
  <c r="V182"/>
  <c r="U21" i="19"/>
  <c r="T21"/>
  <c r="W21"/>
  <c r="X28"/>
  <c r="X23"/>
  <c r="U23"/>
  <c r="T23"/>
  <c r="W23"/>
  <c r="R34" i="18"/>
  <c r="R32"/>
  <c r="S173" i="15"/>
  <c r="J65" i="17"/>
  <c r="L102"/>
  <c r="K65"/>
  <c r="I102"/>
  <c r="I81"/>
  <c r="L81"/>
  <c r="AJ107" i="15"/>
  <c r="M105" i="17"/>
  <c r="N105" s="1"/>
  <c r="J10" s="1"/>
  <c r="M45"/>
  <c r="N45" s="1"/>
  <c r="M41"/>
  <c r="AF200" i="15"/>
  <c r="AG47"/>
  <c r="AA47"/>
  <c r="AF47" s="1"/>
  <c r="J54" i="17"/>
  <c r="L54"/>
  <c r="I54"/>
  <c r="K54"/>
  <c r="M92"/>
  <c r="N92" s="1"/>
  <c r="J7" s="1"/>
  <c r="S66" i="15"/>
  <c r="AC23"/>
  <c r="AA23"/>
  <c r="AG22"/>
  <c r="AA22"/>
  <c r="AI164"/>
  <c r="Z164"/>
  <c r="V164"/>
  <c r="X164"/>
  <c r="AD164" s="1"/>
  <c r="AJ164"/>
  <c r="Y164"/>
  <c r="W164"/>
  <c r="AB164" s="1"/>
  <c r="S86"/>
  <c r="M99" i="17"/>
  <c r="N99" s="1"/>
  <c r="N5" s="1"/>
  <c r="M61"/>
  <c r="N61" s="1"/>
  <c r="M56"/>
  <c r="N56" s="1"/>
  <c r="F16" s="1"/>
  <c r="H16" s="1"/>
  <c r="S151" i="15"/>
  <c r="S81"/>
  <c r="S7"/>
  <c r="AB22"/>
  <c r="M117" i="17"/>
  <c r="N117" s="1"/>
  <c r="J14" s="1"/>
  <c r="AA61" i="15"/>
  <c r="AG61"/>
  <c r="M52" i="17" l="1"/>
  <c r="N52" s="1"/>
  <c r="E136" i="16"/>
  <c r="E105"/>
  <c r="S229" i="15"/>
  <c r="S227"/>
  <c r="D136" i="16"/>
  <c r="AB32" i="18"/>
  <c r="AB34"/>
  <c r="G108" i="19"/>
  <c r="M110" i="17"/>
  <c r="N110" s="1"/>
  <c r="L80" s="1"/>
  <c r="M49"/>
  <c r="N49" s="1"/>
  <c r="F10" s="1"/>
  <c r="H10" s="1"/>
  <c r="K10" s="1"/>
  <c r="M58"/>
  <c r="N58" s="1"/>
  <c r="F18" s="1"/>
  <c r="H18" s="1"/>
  <c r="K18" s="1"/>
  <c r="S82" i="15"/>
  <c r="C10" i="20" s="1"/>
  <c r="S208" i="15"/>
  <c r="V208" s="1"/>
  <c r="AG208" s="1"/>
  <c r="I19" i="20" s="1"/>
  <c r="Q208" i="15"/>
  <c r="M47" i="17"/>
  <c r="N47" s="1"/>
  <c r="F8" s="1"/>
  <c r="H8" s="1"/>
  <c r="B24" i="20"/>
  <c r="B27" s="1"/>
  <c r="Q155" i="15"/>
  <c r="S133"/>
  <c r="AD237" s="1"/>
  <c r="K121" i="17"/>
  <c r="L121"/>
  <c r="I121"/>
  <c r="J121"/>
  <c r="M43"/>
  <c r="N43" s="1"/>
  <c r="F6" s="1"/>
  <c r="H6" s="1"/>
  <c r="R38" i="18"/>
  <c r="M75" i="17"/>
  <c r="N75" s="1"/>
  <c r="X107" i="15"/>
  <c r="AD107" s="1"/>
  <c r="AI107"/>
  <c r="M102" i="17"/>
  <c r="N102" s="1"/>
  <c r="I119"/>
  <c r="K119"/>
  <c r="J119"/>
  <c r="L119"/>
  <c r="L113"/>
  <c r="J113"/>
  <c r="K113"/>
  <c r="I113"/>
  <c r="Z107" i="15"/>
  <c r="W107"/>
  <c r="AB107" s="1"/>
  <c r="V107"/>
  <c r="AA107" s="1"/>
  <c r="S29"/>
  <c r="X29" s="1"/>
  <c r="AD29" s="1"/>
  <c r="W214"/>
  <c r="AB214" s="1"/>
  <c r="H225"/>
  <c r="S115"/>
  <c r="AE164"/>
  <c r="AG147"/>
  <c r="Z214"/>
  <c r="X214"/>
  <c r="AD214" s="1"/>
  <c r="C6" i="20"/>
  <c r="AI25" i="15"/>
  <c r="C5" i="20"/>
  <c r="K29" i="15"/>
  <c r="K225" s="1"/>
  <c r="V29"/>
  <c r="AA29" s="1"/>
  <c r="W25"/>
  <c r="AB25" s="1"/>
  <c r="X25"/>
  <c r="AD25" s="1"/>
  <c r="Z25"/>
  <c r="AG25" s="1"/>
  <c r="I5" i="20" s="1"/>
  <c r="Q212" i="15"/>
  <c r="Q218" s="1"/>
  <c r="I218"/>
  <c r="D58" i="16"/>
  <c r="D78"/>
  <c r="AJ25" i="15"/>
  <c r="V25"/>
  <c r="AA25" s="1"/>
  <c r="AG211"/>
  <c r="AF211"/>
  <c r="Y22"/>
  <c r="AE22" s="1"/>
  <c r="AF61"/>
  <c r="AG96"/>
  <c r="Y96"/>
  <c r="AE96" s="1"/>
  <c r="AF96" s="1"/>
  <c r="X213"/>
  <c r="AD213" s="1"/>
  <c r="Z213"/>
  <c r="U45" i="19"/>
  <c r="W45"/>
  <c r="X60"/>
  <c r="T45"/>
  <c r="X45"/>
  <c r="I112" i="15"/>
  <c r="W75" i="19"/>
  <c r="T75"/>
  <c r="X75"/>
  <c r="U75"/>
  <c r="I101" i="15"/>
  <c r="X29" i="19"/>
  <c r="W24"/>
  <c r="X24"/>
  <c r="T24"/>
  <c r="U24"/>
  <c r="I171" i="15"/>
  <c r="Q171" s="1"/>
  <c r="W29" i="19"/>
  <c r="T29"/>
  <c r="U29"/>
  <c r="I12" i="15"/>
  <c r="Q12" s="1"/>
  <c r="S12" s="1"/>
  <c r="U37" i="19"/>
  <c r="W37"/>
  <c r="T37"/>
  <c r="X37"/>
  <c r="U7"/>
  <c r="X7"/>
  <c r="W7"/>
  <c r="T7"/>
  <c r="I141" i="15"/>
  <c r="Q141" s="1"/>
  <c r="S141" s="1"/>
  <c r="U16" i="19"/>
  <c r="X21"/>
  <c r="X16"/>
  <c r="W16"/>
  <c r="T16"/>
  <c r="I125" i="15"/>
  <c r="Q125" s="1"/>
  <c r="S125" s="1"/>
  <c r="W67" i="19"/>
  <c r="T67"/>
  <c r="X67"/>
  <c r="U67"/>
  <c r="S106"/>
  <c r="I39" i="15"/>
  <c r="W40" i="19"/>
  <c r="T40"/>
  <c r="X40"/>
  <c r="U40"/>
  <c r="W48"/>
  <c r="T48"/>
  <c r="X48"/>
  <c r="U48"/>
  <c r="I135" i="15"/>
  <c r="Q135" s="1"/>
  <c r="S135" s="1"/>
  <c r="U64" i="19"/>
  <c r="W64"/>
  <c r="T64"/>
  <c r="X64"/>
  <c r="I51" i="15"/>
  <c r="T32" i="19"/>
  <c r="X32"/>
  <c r="U32"/>
  <c r="W32"/>
  <c r="M63" i="17"/>
  <c r="N63" s="1"/>
  <c r="F20" s="1"/>
  <c r="H20" s="1"/>
  <c r="M72"/>
  <c r="N72" s="1"/>
  <c r="N73" s="1"/>
  <c r="K16"/>
  <c r="M65"/>
  <c r="T17" i="19"/>
  <c r="I134" i="15"/>
  <c r="X17" i="19"/>
  <c r="W17"/>
  <c r="U17"/>
  <c r="X22"/>
  <c r="W11"/>
  <c r="T11"/>
  <c r="U11"/>
  <c r="X11"/>
  <c r="I35" i="15"/>
  <c r="X91" i="19"/>
  <c r="W91"/>
  <c r="U91"/>
  <c r="T91"/>
  <c r="X99"/>
  <c r="W99"/>
  <c r="U99"/>
  <c r="T99"/>
  <c r="I52" i="15"/>
  <c r="T36" i="19"/>
  <c r="U36"/>
  <c r="X36"/>
  <c r="W36"/>
  <c r="I189" i="15"/>
  <c r="W28" i="19"/>
  <c r="T28"/>
  <c r="U28"/>
  <c r="T31" i="18"/>
  <c r="I37" i="15"/>
  <c r="Q37" s="1"/>
  <c r="S37" s="1"/>
  <c r="X79" i="19"/>
  <c r="U79"/>
  <c r="W79"/>
  <c r="T79"/>
  <c r="I124" i="15"/>
  <c r="Q124" s="1"/>
  <c r="T62" i="19"/>
  <c r="X62"/>
  <c r="U62"/>
  <c r="W62"/>
  <c r="I88" i="15"/>
  <c r="U33" i="19"/>
  <c r="X33"/>
  <c r="W33"/>
  <c r="T33"/>
  <c r="W71"/>
  <c r="X71"/>
  <c r="T71"/>
  <c r="U71"/>
  <c r="X76"/>
  <c r="T8"/>
  <c r="X8"/>
  <c r="W8"/>
  <c r="U8"/>
  <c r="I158" i="15"/>
  <c r="W41" i="19"/>
  <c r="T41"/>
  <c r="X41"/>
  <c r="U41"/>
  <c r="I25" i="15"/>
  <c r="U49" i="19"/>
  <c r="T49"/>
  <c r="W49"/>
  <c r="X49"/>
  <c r="I172" i="15"/>
  <c r="W20" i="19"/>
  <c r="T20"/>
  <c r="U20"/>
  <c r="I11" i="15"/>
  <c r="U95" i="19"/>
  <c r="T95"/>
  <c r="W95"/>
  <c r="X95"/>
  <c r="T44"/>
  <c r="X44"/>
  <c r="U44"/>
  <c r="W44"/>
  <c r="I100" i="15"/>
  <c r="X30" i="19"/>
  <c r="U25"/>
  <c r="W25"/>
  <c r="T25"/>
  <c r="X25"/>
  <c r="V213" i="15"/>
  <c r="AA213" s="1"/>
  <c r="AA214"/>
  <c r="AG214"/>
  <c r="AA182"/>
  <c r="AF182" s="1"/>
  <c r="AG182"/>
  <c r="M54" i="17"/>
  <c r="N54" s="1"/>
  <c r="F14" s="1"/>
  <c r="H14" s="1"/>
  <c r="K14" s="1"/>
  <c r="C81"/>
  <c r="C82"/>
  <c r="AG164" i="15"/>
  <c r="AA164"/>
  <c r="AF164" s="1"/>
  <c r="L79" i="17"/>
  <c r="N6"/>
  <c r="J6" s="1"/>
  <c r="I79"/>
  <c r="F22"/>
  <c r="H22" s="1"/>
  <c r="K22" s="1"/>
  <c r="F12"/>
  <c r="H12" s="1"/>
  <c r="AF23" i="15"/>
  <c r="AI22"/>
  <c r="AJ22"/>
  <c r="N41" i="17"/>
  <c r="AI82" i="15"/>
  <c r="Z82"/>
  <c r="V82"/>
  <c r="W82"/>
  <c r="AB82" s="1"/>
  <c r="I80" i="17"/>
  <c r="C87"/>
  <c r="C80"/>
  <c r="C86"/>
  <c r="C79"/>
  <c r="F7"/>
  <c r="H7" s="1"/>
  <c r="N7"/>
  <c r="J5" s="1"/>
  <c r="AJ82" i="15" l="1"/>
  <c r="X82"/>
  <c r="AD82" s="1"/>
  <c r="Y82"/>
  <c r="AE82" s="1"/>
  <c r="AG107"/>
  <c r="I13" i="20" s="1"/>
  <c r="D105" i="16"/>
  <c r="D107" s="1"/>
  <c r="P153" i="17"/>
  <c r="AB38" i="18"/>
  <c r="AE31"/>
  <c r="E118" i="19"/>
  <c r="F118" s="1"/>
  <c r="W208" i="15"/>
  <c r="AB208" s="1"/>
  <c r="X208"/>
  <c r="AD208" s="1"/>
  <c r="AI208"/>
  <c r="D138" i="16"/>
  <c r="E138"/>
  <c r="G249" i="15"/>
  <c r="K7" i="17"/>
  <c r="S171" i="15"/>
  <c r="S155"/>
  <c r="M50" i="17"/>
  <c r="M59"/>
  <c r="N59"/>
  <c r="AF214" i="15"/>
  <c r="AJ208"/>
  <c r="Z208"/>
  <c r="Q112"/>
  <c r="I127"/>
  <c r="M121" i="17"/>
  <c r="N121" s="1"/>
  <c r="I17" i="15"/>
  <c r="C19" i="20"/>
  <c r="M113" i="17"/>
  <c r="N113" s="1"/>
  <c r="K20"/>
  <c r="N89"/>
  <c r="F35"/>
  <c r="H35" s="1"/>
  <c r="K35" s="1"/>
  <c r="S212" i="15"/>
  <c r="V212" s="1"/>
  <c r="AA212" s="1"/>
  <c r="K6" i="17"/>
  <c r="M119"/>
  <c r="N119" s="1"/>
  <c r="J12" s="1"/>
  <c r="AF107" i="15"/>
  <c r="F13" i="20" s="1"/>
  <c r="J13" s="1"/>
  <c r="N13" s="1"/>
  <c r="G118" i="19"/>
  <c r="AJ29" i="15"/>
  <c r="Z29"/>
  <c r="AG29" s="1"/>
  <c r="I6" i="20" s="1"/>
  <c r="AI29" i="15"/>
  <c r="W29"/>
  <c r="AB29" s="1"/>
  <c r="AF29" s="1"/>
  <c r="F6" i="20" s="1"/>
  <c r="I142" i="15"/>
  <c r="AG212"/>
  <c r="Y25"/>
  <c r="X212"/>
  <c r="AD212" s="1"/>
  <c r="Z212"/>
  <c r="AF22"/>
  <c r="V219"/>
  <c r="AF213"/>
  <c r="W106" i="19"/>
  <c r="AI219" i="15"/>
  <c r="Z219"/>
  <c r="X219"/>
  <c r="AJ219"/>
  <c r="W219"/>
  <c r="AG213"/>
  <c r="Q39"/>
  <c r="S39" s="1"/>
  <c r="Q51"/>
  <c r="Q70"/>
  <c r="Q75" s="1"/>
  <c r="I75"/>
  <c r="Q101"/>
  <c r="S101" s="1"/>
  <c r="X106" i="19"/>
  <c r="U106"/>
  <c r="F31" i="17"/>
  <c r="H31" s="1"/>
  <c r="K31" s="1"/>
  <c r="N65"/>
  <c r="N67" s="1"/>
  <c r="Q11" i="15"/>
  <c r="Q17" s="1"/>
  <c r="Q158"/>
  <c r="Q159" s="1"/>
  <c r="I159"/>
  <c r="T106" i="19"/>
  <c r="Q139" i="15"/>
  <c r="Q172"/>
  <c r="Q177" s="1"/>
  <c r="I177"/>
  <c r="I102"/>
  <c r="Q100"/>
  <c r="I195"/>
  <c r="Q189"/>
  <c r="Q195" s="1"/>
  <c r="I42"/>
  <c r="Q35"/>
  <c r="Q36"/>
  <c r="Q88"/>
  <c r="Q91" s="1"/>
  <c r="I91"/>
  <c r="I55"/>
  <c r="Q52"/>
  <c r="Q134"/>
  <c r="N8" i="17"/>
  <c r="AG82" i="15"/>
  <c r="I10" i="20" s="1"/>
  <c r="AA82" i="15"/>
  <c r="N50" i="17"/>
  <c r="F5"/>
  <c r="M3"/>
  <c r="AA208" i="15"/>
  <c r="L82" i="17"/>
  <c r="Y225" i="15" l="1"/>
  <c r="I118" i="19"/>
  <c r="S218" i="15"/>
  <c r="Z218" s="1"/>
  <c r="AF208"/>
  <c r="F19" i="20" s="1"/>
  <c r="J19" s="1"/>
  <c r="N19" s="1"/>
  <c r="W212" i="15"/>
  <c r="AB212" s="1"/>
  <c r="AF212" s="1"/>
  <c r="S108" i="19"/>
  <c r="G245" i="15" s="1"/>
  <c r="E107" i="16"/>
  <c r="J118" i="19"/>
  <c r="K118" s="1"/>
  <c r="Q102" i="15"/>
  <c r="S36"/>
  <c r="AD235" s="1"/>
  <c r="G247" s="1"/>
  <c r="Q42"/>
  <c r="S112"/>
  <c r="Q127"/>
  <c r="S51"/>
  <c r="Q55"/>
  <c r="Q142"/>
  <c r="AE25"/>
  <c r="AE225" s="1"/>
  <c r="J6" i="20"/>
  <c r="N6" s="1"/>
  <c r="J28" i="17"/>
  <c r="J32" s="1"/>
  <c r="K12"/>
  <c r="I225" i="15"/>
  <c r="AD219"/>
  <c r="D27" i="20" s="1"/>
  <c r="F27" s="1"/>
  <c r="AA219" i="15"/>
  <c r="S134"/>
  <c r="W218"/>
  <c r="AB218" s="1"/>
  <c r="V218"/>
  <c r="AG218" s="1"/>
  <c r="X218"/>
  <c r="AD218" s="1"/>
  <c r="AG219"/>
  <c r="AF82"/>
  <c r="F10" i="20" s="1"/>
  <c r="J10" s="1"/>
  <c r="N10" s="1"/>
  <c r="S124" i="15"/>
  <c r="S70"/>
  <c r="S75" s="1"/>
  <c r="S189"/>
  <c r="S195" s="1"/>
  <c r="F24" i="17"/>
  <c r="H24" s="1"/>
  <c r="K24" s="1"/>
  <c r="S35" i="15"/>
  <c r="S172"/>
  <c r="S177" s="1"/>
  <c r="C17" i="20" s="1"/>
  <c r="S52" i="15"/>
  <c r="S88"/>
  <c r="S91" s="1"/>
  <c r="C11" i="20" s="1"/>
  <c r="S100" i="15"/>
  <c r="S102" s="1"/>
  <c r="V102" s="1"/>
  <c r="S139"/>
  <c r="S158"/>
  <c r="S11"/>
  <c r="AN31" i="18"/>
  <c r="AF25" i="15"/>
  <c r="F5" i="20" s="1"/>
  <c r="J5" s="1"/>
  <c r="N5" s="1"/>
  <c r="H5" i="17"/>
  <c r="D27" i="16" l="1"/>
  <c r="G243" i="15"/>
  <c r="G246" s="1"/>
  <c r="F6" i="16"/>
  <c r="H27" i="20"/>
  <c r="D24" s="1"/>
  <c r="D25" i="16"/>
  <c r="D43" s="1"/>
  <c r="S55" i="15"/>
  <c r="C8" i="20" s="1"/>
  <c r="S127" i="15"/>
  <c r="AJ127" s="1"/>
  <c r="S142"/>
  <c r="AI142" s="1"/>
  <c r="C9" i="20"/>
  <c r="X75" i="15"/>
  <c r="AD75" s="1"/>
  <c r="V75"/>
  <c r="W75"/>
  <c r="AB75" s="1"/>
  <c r="Z75"/>
  <c r="H28" i="17"/>
  <c r="H32" s="1"/>
  <c r="H37" s="1"/>
  <c r="K5"/>
  <c r="K28" s="1"/>
  <c r="K32" s="1"/>
  <c r="F28"/>
  <c r="F32" s="1"/>
  <c r="F37" s="1"/>
  <c r="J37"/>
  <c r="L12"/>
  <c r="E24" i="20"/>
  <c r="C24"/>
  <c r="S159" i="15"/>
  <c r="C16" i="20" s="1"/>
  <c r="C12"/>
  <c r="W102" i="15"/>
  <c r="AB102" s="1"/>
  <c r="AA102"/>
  <c r="S42"/>
  <c r="C7" i="20" s="1"/>
  <c r="S17" i="15"/>
  <c r="AJ17" s="1"/>
  <c r="Q225"/>
  <c r="AF219"/>
  <c r="W195"/>
  <c r="AB195" s="1"/>
  <c r="C18" i="20"/>
  <c r="AA218" i="15"/>
  <c r="AF218" s="1"/>
  <c r="AJ195"/>
  <c r="X195"/>
  <c r="AD195" s="1"/>
  <c r="V195"/>
  <c r="AA195" s="1"/>
  <c r="AI75"/>
  <c r="AJ75"/>
  <c r="AI195"/>
  <c r="AI102"/>
  <c r="AJ102"/>
  <c r="X102"/>
  <c r="AD102" s="1"/>
  <c r="Z102"/>
  <c r="W55"/>
  <c r="AB55" s="1"/>
  <c r="X91"/>
  <c r="AD91" s="1"/>
  <c r="AI91"/>
  <c r="AJ91"/>
  <c r="W91"/>
  <c r="AB91" s="1"/>
  <c r="Z91"/>
  <c r="V91"/>
  <c r="AJ177"/>
  <c r="Z177"/>
  <c r="V177"/>
  <c r="W177"/>
  <c r="AB177" s="1"/>
  <c r="AI177"/>
  <c r="X177"/>
  <c r="AD177" s="1"/>
  <c r="L3" i="17"/>
  <c r="N3" s="1"/>
  <c r="AJ142" i="15" l="1"/>
  <c r="J33" i="17"/>
  <c r="X17" i="15"/>
  <c r="S225"/>
  <c r="D6" i="16" s="1"/>
  <c r="X142" i="15"/>
  <c r="AD142" s="1"/>
  <c r="V142"/>
  <c r="Z142"/>
  <c r="W142"/>
  <c r="AB142" s="1"/>
  <c r="V127"/>
  <c r="AA127" s="1"/>
  <c r="C14" i="20"/>
  <c r="AI127" i="15"/>
  <c r="X127"/>
  <c r="AD127" s="1"/>
  <c r="W127"/>
  <c r="AB127" s="1"/>
  <c r="Z127"/>
  <c r="Z55"/>
  <c r="V55"/>
  <c r="AG55" s="1"/>
  <c r="I8" i="20" s="1"/>
  <c r="AI55" i="15"/>
  <c r="X55"/>
  <c r="AD55" s="1"/>
  <c r="AJ55"/>
  <c r="C15" i="20"/>
  <c r="K37" i="17"/>
  <c r="V17" i="15"/>
  <c r="AA17" s="1"/>
  <c r="Z17"/>
  <c r="J38" i="17"/>
  <c r="AI17" i="15"/>
  <c r="W17"/>
  <c r="Z42"/>
  <c r="W159"/>
  <c r="AB159" s="1"/>
  <c r="AJ159"/>
  <c r="V42"/>
  <c r="AA42" s="1"/>
  <c r="AJ42"/>
  <c r="X42"/>
  <c r="AD42" s="1"/>
  <c r="W42"/>
  <c r="AB42" s="1"/>
  <c r="AI42"/>
  <c r="AI159"/>
  <c r="V159"/>
  <c r="X159"/>
  <c r="AD159" s="1"/>
  <c r="Z159"/>
  <c r="C4" i="20"/>
  <c r="AF195" i="15"/>
  <c r="F18" i="20" s="1"/>
  <c r="J18" s="1"/>
  <c r="N18" s="1"/>
  <c r="AG75" i="15"/>
  <c r="AA75"/>
  <c r="AF75" s="1"/>
  <c r="F9" i="20" s="1"/>
  <c r="AG91" i="15"/>
  <c r="I11" i="20" s="1"/>
  <c r="AA91" i="15"/>
  <c r="AF91" s="1"/>
  <c r="F11" i="20" s="1"/>
  <c r="AF102" i="15"/>
  <c r="F12" i="20" s="1"/>
  <c r="AG102" i="15"/>
  <c r="I12" i="20" s="1"/>
  <c r="R254" i="15"/>
  <c r="R255" s="1"/>
  <c r="AA177"/>
  <c r="AF177" s="1"/>
  <c r="F17" i="20" s="1"/>
  <c r="J17" s="1"/>
  <c r="N17" s="1"/>
  <c r="AG177" i="15"/>
  <c r="AB17"/>
  <c r="AD17"/>
  <c r="AA55"/>
  <c r="AF55" s="1"/>
  <c r="F8" i="20" s="1"/>
  <c r="AG142" i="15"/>
  <c r="I15" i="20" s="1"/>
  <c r="AA142" i="15"/>
  <c r="O3" i="17"/>
  <c r="AF142" i="15" l="1"/>
  <c r="F15" i="20" s="1"/>
  <c r="J15" s="1"/>
  <c r="N15" s="1"/>
  <c r="AG127" i="15"/>
  <c r="I14" i="20" s="1"/>
  <c r="AF127" i="15"/>
  <c r="F14" i="20" s="1"/>
  <c r="C21"/>
  <c r="AG17" i="15"/>
  <c r="X225"/>
  <c r="Z225"/>
  <c r="AI225"/>
  <c r="AD225"/>
  <c r="AG42"/>
  <c r="I7" i="20" s="1"/>
  <c r="AB225" i="15"/>
  <c r="W225"/>
  <c r="AJ225"/>
  <c r="V225"/>
  <c r="AG159"/>
  <c r="I16" i="20" s="1"/>
  <c r="AF42" i="15"/>
  <c r="F7" i="20" s="1"/>
  <c r="J8"/>
  <c r="N8" s="1"/>
  <c r="AA159" i="15"/>
  <c r="AF159" s="1"/>
  <c r="F16" i="20" s="1"/>
  <c r="I9"/>
  <c r="J9" s="1"/>
  <c r="N9" s="1"/>
  <c r="J12"/>
  <c r="N12" s="1"/>
  <c r="J11"/>
  <c r="N11" s="1"/>
  <c r="C78" i="17"/>
  <c r="I78" s="1"/>
  <c r="I82" s="1"/>
  <c r="C85"/>
  <c r="C88" s="1"/>
  <c r="AF17" i="15"/>
  <c r="J16" i="20" l="1"/>
  <c r="N16" s="1"/>
  <c r="I4"/>
  <c r="AG225" i="15"/>
  <c r="D20" i="16" s="1"/>
  <c r="J14" i="20"/>
  <c r="N14" s="1"/>
  <c r="J7"/>
  <c r="N7" s="1"/>
  <c r="AF225" i="15"/>
  <c r="D7" i="16" s="1"/>
  <c r="E6" s="1"/>
  <c r="I21" i="20"/>
  <c r="AL31" i="21" s="1"/>
  <c r="AA225" i="15"/>
  <c r="F4" i="20"/>
  <c r="C83" i="17"/>
  <c r="J4" i="20" l="1"/>
  <c r="F21"/>
  <c r="J21" s="1"/>
  <c r="N4"/>
  <c r="N21" s="1"/>
  <c r="D53" i="16" l="1"/>
  <c r="G6"/>
  <c r="D5"/>
  <c r="G7" l="1"/>
  <c r="I7" s="1"/>
  <c r="AC229" i="15"/>
  <c r="AD234" s="1"/>
  <c r="F19" i="16"/>
  <c r="D21"/>
  <c r="D67" s="1"/>
  <c r="D69" s="1"/>
  <c r="AD236" i="15" l="1"/>
  <c r="AD245" s="1"/>
  <c r="F32" i="20"/>
  <c r="F38" s="1"/>
  <c r="F43" s="1"/>
  <c r="F46" s="1"/>
  <c r="G237" i="15"/>
  <c r="G244" s="1"/>
  <c r="G250" s="1"/>
  <c r="G253" s="1"/>
  <c r="D23" i="16"/>
  <c r="D44" s="1"/>
  <c r="D51" l="1"/>
  <c r="F51" s="1"/>
  <c r="D49"/>
</calcChain>
</file>

<file path=xl/comments1.xml><?xml version="1.0" encoding="utf-8"?>
<comments xmlns="http://schemas.openxmlformats.org/spreadsheetml/2006/main">
  <authors>
    <author>ario</author>
    <author>Patti Giulia</author>
    <author>Rizzi Sonia</author>
  </authors>
  <commentList>
    <comment ref="C27" authorId="0">
      <text>
        <r>
          <rPr>
            <b/>
            <sz val="9"/>
            <color indexed="81"/>
            <rFont val="Tahoma"/>
            <charset val="1"/>
          </rPr>
          <t>ario:</t>
        </r>
        <r>
          <rPr>
            <sz val="9"/>
            <color indexed="81"/>
            <rFont val="Tahoma"/>
            <charset val="1"/>
          </rPr>
          <t xml:space="preserve">
mobilità della vigilessa con perdita dell'indennità di vigilanza dal 01/05/2020</t>
        </r>
      </text>
    </comment>
    <comment ref="R36" authorId="1">
      <text>
        <r>
          <rPr>
            <b/>
            <sz val="9"/>
            <color indexed="81"/>
            <rFont val="Tahoma"/>
            <family val="2"/>
          </rPr>
          <t>Aggiunti arretari ANF Gen/Giu 14 € 559,98 per domanda presentata 2015</t>
        </r>
      </text>
    </comment>
    <comment ref="G38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Inserita progressione dal 01/01/2020</t>
        </r>
      </text>
    </comment>
    <comment ref="R71" authorId="1">
      <text>
        <r>
          <rPr>
            <b/>
            <sz val="9"/>
            <color indexed="81"/>
            <rFont val="Tahoma"/>
            <family val="2"/>
          </rPr>
          <t>Aggiunti arretari ANF Gen/Giu 14 € 559,98 per domanda presentata 2015</t>
        </r>
      </text>
    </comment>
    <comment ref="R106" authorId="1">
      <text>
        <r>
          <rPr>
            <b/>
            <sz val="9"/>
            <color indexed="81"/>
            <rFont val="Tahoma"/>
            <family val="2"/>
          </rPr>
          <t>Aggiunti arretari ANF Gen/Giu 14 € 559,98 per domanda presentata 2015</t>
        </r>
      </text>
    </comment>
    <comment ref="T117" authorId="1">
      <text>
        <r>
          <rPr>
            <b/>
            <sz val="9"/>
            <color indexed="81"/>
            <rFont val="Tahoma"/>
            <family val="2"/>
          </rPr>
          <t>Aggiunti arretari ANF Gen/Giu 14 € 559,98 per domanda presentata 2015</t>
        </r>
      </text>
    </comment>
    <comment ref="T120" authorId="1">
      <text>
        <r>
          <rPr>
            <b/>
            <sz val="9"/>
            <color indexed="81"/>
            <rFont val="Tahoma"/>
            <family val="2"/>
          </rPr>
          <t>Aggiunti arretari ANF Gen/Giu 14 € 559,98 per domanda presentata 2015</t>
        </r>
      </text>
    </comment>
    <comment ref="C124" authorId="0">
      <text>
        <r>
          <rPr>
            <b/>
            <sz val="9"/>
            <color indexed="81"/>
            <rFont val="Tahoma"/>
            <charset val="1"/>
          </rPr>
          <t>ario:</t>
        </r>
        <r>
          <rPr>
            <sz val="9"/>
            <color indexed="81"/>
            <rFont val="Tahoma"/>
            <charset val="1"/>
          </rPr>
          <t xml:space="preserve">
mobilità della vigilessa con perdita dell'indennità di vigilanza dal 01/05/2020</t>
        </r>
      </text>
    </comment>
    <comment ref="G138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Inserita progressione dal 01/01/2020
</t>
        </r>
      </text>
    </comment>
    <comment ref="R140" authorId="1">
      <text>
        <r>
          <rPr>
            <b/>
            <sz val="9"/>
            <color indexed="81"/>
            <rFont val="Tahoma"/>
            <family val="2"/>
          </rPr>
          <t>Aggiunti arretari ANF Gen/Giu 14 € 559,98 per domanda presentata 2015</t>
        </r>
      </text>
    </comment>
    <comment ref="G153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inserita progressione C6 dal 1/01/2020
</t>
        </r>
      </text>
    </comment>
    <comment ref="G157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Inserita Progressione dal 1/01/2020</t>
        </r>
      </text>
    </comment>
    <comment ref="N194" authorId="1">
      <text>
        <r>
          <rPr>
            <b/>
            <sz val="9"/>
            <color indexed="81"/>
            <rFont val="Tahoma"/>
            <family val="2"/>
          </rPr>
          <t>Inseriti € 1.015,38 per Monet. Ferie non godute e € 6.909,58 per Ind. Sost. Preavviso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7" authorId="0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IPOTESI NUOVA PO COME ATTUALE PAPALIA</t>
        </r>
      </text>
    </comment>
    <comment ref="S219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3421,41
 è il pezzo di comparto a carico del bilancio.
  € 19751 è il fondo straordinario.
SOTTRARRE ANCORA IL COSTO PEO = 119634,46 (DATO DEL 2019) e AGGIUNTA LA RIVALUTAZIONE DELLE PEO = 5860,16 (DATO DEL 2019) + AGGIUNTO 83,20 PER N. 74 DIP AL 31.12.2015 </t>
        </r>
      </text>
    </comment>
    <comment ref="G241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Net - assunzione cat. D (prot. 2415 del 6/02/2019
</t>
        </r>
      </text>
    </comment>
    <comment ref="G242" authorId="2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considerati 10 vigili + 2 nuovi + aumento di € 100 all'anno a testa</t>
        </r>
      </text>
    </comment>
    <comment ref="G245" authorId="0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vedi file incrementi ccnl 2016 2017 2018</t>
        </r>
      </text>
    </comment>
    <comment ref="G248" authorId="0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IL DATO DI TRUSCIA è PRESO DALLA DET. N. 465 DEL 2/08. CONSIDERATO PER 12 MESI CON ONERI E TREDICESIMA
</t>
        </r>
      </text>
    </comment>
  </commentList>
</comments>
</file>

<file path=xl/comments2.xml><?xml version="1.0" encoding="utf-8"?>
<comments xmlns="http://schemas.openxmlformats.org/spreadsheetml/2006/main">
  <authors>
    <author>Rizzi Sonia</author>
    <author>ario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Aggiunto € 15000 diritti di rogito
+ 9747,10 quadratura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Net - assunzione cat. D (prot. 2415 del 6/02/2019
</t>
        </r>
      </text>
    </comment>
    <comment ref="D4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inserito la somma delle assunzioni al netto degli aumenti contrattuali, presa come differenza rispetto all'allegato B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1,27% facoltà assunzionali 01/01/2018 ) vedi ns. delibera n. 18 del 01/02/2018 - delibera GIUNTA CITTA' METROPOLITANA 14/03/2018</t>
        </r>
      </text>
    </comment>
    <comment ref="D97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INSERIRE SI O NO IN BASE AL RIFERIMENTO DEL COMUNE E SE INFERIORE AL RELATIVO VALORE SOGLIA</t>
        </r>
      </text>
    </comment>
    <comment ref="D127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INSERIRE SI O NO IN BASE AL RIFERIMENTO DEL COMUNE E SE INFERIORE AL RELATIVO VALORE SOGLIA</t>
        </r>
      </text>
    </comment>
  </commentList>
</comments>
</file>

<file path=xl/comments3.xml><?xml version="1.0" encoding="utf-8"?>
<comments xmlns="http://schemas.openxmlformats.org/spreadsheetml/2006/main">
  <authors>
    <author>Rizzi Sonia</author>
    <author>ario</author>
  </authors>
  <commentList>
    <comment ref="J5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ASSUNTE DA GRADUATORIA COMUNE VOLPIANO NEL CORSO DEL 2018 2 CAT C SIG. ALLORA E SIG. VITALE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COSTO AGGIORNATO AL NUOVO CCNL 21.5.2018 PER IL TABELLAARE 2018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VIGILE ASSUNTO VALENTE LUCA AIL 18.9.2018 DA GRADUATORIA DI ALTRO COMUNE</t>
        </r>
      </text>
    </comment>
    <comment ref="N6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COSTO AGGIORNATO AL NUOVO CCNL 21.5.2018 PER IL TABELLAARE 2018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2 OPERAI ASSUNTI A GENNAIO 2017 USSIA E LETO</t>
        </r>
      </text>
    </comment>
    <comment ref="N7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COSTO AGGIORNATO AL NUOVO CCNL 21.5.2018 PER IL TABELLAARE 2018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ASSUNZIONE GEOMETRA MAFFE0 10.6.2019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N. 1 ASSUNZIONE 1 VIGILE IN GRADUATORIA CONCLUSA A DICEMBRE 2019 - ASSUNTO A BREVE
</t>
        </r>
      </text>
    </comment>
    <comment ref="J14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 ASSUNZIONE PROGRESSIONE VERTICALE C AMMINISTRATIVO DAL 25.3.2019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N. 1 ASSUNZIONE 2° VIGILE IN GRADUATORIA CONCLUSA A DICEMBRE 2019 - ASSUNTO A BREVE </t>
        </r>
      </text>
    </comment>
    <comment ref="J18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EX AMMINISTRATIVO CAT C1 AL POSTO DI MASSA MARINA - SPOSTATO IN VIGILE DAL 15.4.2020</t>
        </r>
      </text>
    </comment>
    <comment ref="J20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AMMINISTRATIVO CAT C1 AI SERVIZI SOCIALI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1 D AMMINISTRATIVO A FINE ANNO 2020 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= (1,27% di 140.233,41) ns. delibera giunta n. 18 del 01/02/2018 - 
Mappano deliberazione città metropolitana 14/03/2018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CESSIONE FACOLTA' AL NET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AUMENTO PO A DISCAPITO FACOLTA' ASSUNZIONALI</t>
        </r>
      </text>
    </comment>
    <comment ref="J35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1 c TECNICO  da assumere dal 1.4.2020 al posto di FRASSATI</t>
        </r>
      </text>
    </comment>
    <comment ref="B49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INSERITO NUOVO TABELLLARE DA CCNL 21.5.2018</t>
        </r>
      </text>
    </comment>
    <comment ref="B5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CCNL 21.5.2018</t>
        </r>
      </text>
    </comment>
    <comment ref="B54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CCNL 21.5.2018</t>
        </r>
      </text>
    </comment>
    <comment ref="B56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CCNL 21.5.2018</t>
        </r>
      </text>
    </comment>
    <comment ref="B58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CCNL 21.5.2018</t>
        </r>
      </text>
    </comment>
    <comment ref="B61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NUOVO CCNL 21.5.2018</t>
        </r>
      </text>
    </comment>
    <comment ref="G61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PRESO VALORE DELLO STABILE 2018</t>
        </r>
      </text>
    </comment>
    <comment ref="B63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NUOVO CCNL 21.5.2018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PRESO VALORE DELLO STABILE 2018</t>
        </r>
      </text>
    </comment>
    <comment ref="B65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DATO AGGIORNATO CON NUOVO CCNL 21.5.2018</t>
        </r>
      </text>
    </comment>
    <comment ref="G65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PRESO VALORE DELLO STABILE 2018</t>
        </r>
      </text>
    </comment>
    <comment ref="G68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9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PRESO VALORE DELLO STABILE 2018</t>
        </r>
      </text>
    </comment>
    <comment ref="B99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AGGIORNATO CON NUOVO CCNL 21.5.2018 IN VIGORE NEL 2018</t>
        </r>
      </text>
    </comment>
    <comment ref="G99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PRESO VALORE DELLO STABILE 2018</t>
        </r>
      </text>
    </comment>
    <comment ref="B10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AGGIORNATO CON NUOVO CCNL 21.5.2018 IN VIGORE NEL 2018</t>
        </r>
      </text>
    </comment>
    <comment ref="G10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PRESO VALORE DELLO STABILE 2018</t>
        </r>
      </text>
    </comment>
    <comment ref="G105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B110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costo aggiornato con ccnl 21-5-2018 in vigore nel 2019</t>
        </r>
      </text>
    </comment>
    <comment ref="G110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E113" authorId="1">
      <text>
        <r>
          <rPr>
            <b/>
            <sz val="9"/>
            <color indexed="81"/>
            <rFont val="Tahoma"/>
            <family val="2"/>
          </rPr>
          <t>TOLTA INDENNITA' EDUCAT. PERCHE' MODIFICATO PROFILO IN ISTRUTTORE AMM.VO</t>
        </r>
      </text>
    </comment>
    <comment ref="G113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17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19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21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A125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ipotesi 1 c VIGILE INSERITO CON IL PIANO DI LUGLIO 2019 MA DA PRENDERRE DAL 1.4.2020</t>
        </r>
      </text>
    </comment>
    <comment ref="G125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27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32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34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36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A138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ipotesi 1 c VIGILE INSERITO CON IL PIANO DI LUGLIO 2019 MA DA PRENDERRE DAL 1.4.2020</t>
        </r>
      </text>
    </comment>
    <comment ref="G138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B140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costo aggiornato con ccnl 21-5-2018 in vigore nel 2019</t>
        </r>
      </text>
    </comment>
    <comment ref="G140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42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A144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contati dei 5 c previsti nel 2019 solo 4, poiché uno è ancora della precedente verticalizzaione avvenuta nel 2019)
</t>
        </r>
      </text>
    </comment>
    <comment ref="G144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45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49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  <comment ref="G151" authorId="1">
      <text>
        <r>
          <rPr>
            <sz val="9"/>
            <color indexed="81"/>
            <rFont val="Tahoma"/>
            <family val="2"/>
          </rPr>
          <t>PRESO VALORE DELLO STABILE 2019 PRESO IL VALORE DI FINE ANNO DA VERIFICARE POI A CONSUNTIVO</t>
        </r>
      </text>
    </comment>
  </commentList>
</comments>
</file>

<file path=xl/comments4.xml><?xml version="1.0" encoding="utf-8"?>
<comments xmlns="http://schemas.openxmlformats.org/spreadsheetml/2006/main">
  <authors>
    <author>Rizzi Sonia</author>
  </authors>
  <commentList>
    <comment ref="T8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pirozzo - non conteggiata poiché nel calcolo spesa personale è già stato utilizzato il nuovo tabellare e tutto il costo escluso rispetto alla spesa 2011/2013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giuliani - non conteggiata poiché nel calcolo spesa personale è già stato utilizzato il nuovo tabellare e tutto il costo escluso rispetto alla spesa 2011/2013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revello - non conteggiata poiché nel calcolo spesa personale è già stato utilizzato il nuovo tabellare e tutto il costo escluso rispetto alla spesa 2011/2013</t>
        </r>
      </text>
    </comment>
  </commentList>
</comments>
</file>

<file path=xl/comments5.xml><?xml version="1.0" encoding="utf-8"?>
<comments xmlns="http://schemas.openxmlformats.org/spreadsheetml/2006/main">
  <authors>
    <author>ario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PENSIONE SETTEMBRE 2020 </t>
        </r>
      </text>
    </comment>
  </commentList>
</comments>
</file>

<file path=xl/comments6.xml><?xml version="1.0" encoding="utf-8"?>
<comments xmlns="http://schemas.openxmlformats.org/spreadsheetml/2006/main">
  <authors>
    <author>Rizzi Sonia</author>
    <author>ario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 xml:space="preserve">Rizzi Sonia:=
</t>
        </r>
        <r>
          <rPr>
            <sz val="9"/>
            <color indexed="81"/>
            <rFont val="Tahoma"/>
            <family val="2"/>
          </rPr>
          <t xml:space="preserve">
3431,96 è il pezzo di comparto a carico del bilancio . € 19751 è il fo
3421,41
 è il pezzo di comparto a carico del bilancio (DATO DEL 2018) . € 19751 è il fondo straordinario.
SOTTRARRE ANCORA IL COSTO PEO = 119634,46 (DATO DEL 2019) e AGGIUNTA LA RIVALUTAZIONE DELLE PEO = 5860,16 (DATO DEL 2019) + AGGIUNTO 83,20 PER N. 74 DIP AL 31.12.2015 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Net - assunzione cat. D (prot. 2415 del 6/02/2019
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considerati 10 vigili + 2 nuovi + aumento di € 100 all'anno a testa</t>
        </r>
      </text>
    </comment>
    <comment ref="F39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vedi file incrementi ccnl 2016 2017 2018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ario:</t>
        </r>
        <r>
          <rPr>
            <sz val="9"/>
            <color indexed="81"/>
            <rFont val="Tahoma"/>
            <family val="2"/>
          </rPr>
          <t xml:space="preserve">
IL DATO DI TRUSCIA è PRESO DALLA DET. N. 465 DEL 2/08. CONSIDERATO PER 12 MESI CON ONERI E TREDICESIMA
</t>
        </r>
      </text>
    </comment>
  </commentList>
</comments>
</file>

<file path=xl/comments7.xml><?xml version="1.0" encoding="utf-8"?>
<comments xmlns="http://schemas.openxmlformats.org/spreadsheetml/2006/main">
  <authors>
    <author>Rizzi Sonia</author>
  </authors>
  <commentList>
    <comment ref="AF21" authorId="0">
      <text>
        <r>
          <rPr>
            <b/>
            <sz val="9"/>
            <color indexed="81"/>
            <rFont val="Tahoma"/>
            <family val="2"/>
          </rPr>
          <t>Rizzi Sonia:</t>
        </r>
        <r>
          <rPr>
            <sz val="9"/>
            <color indexed="81"/>
            <rFont val="Tahoma"/>
            <family val="2"/>
          </rPr>
          <t xml:space="preserve">
268.750,53-39694,50(TUTTO IL COMPARTO) + 3421,41
 è il pezzo di comparto a carico del bilancio.
  TOLGO € 19751 è il fondo straordinario.
SOTTRARRE ANCORA IL COSTO PEO = 119634,46 (DATO DEL 2019) e AGGIUNTA LA RIVALUTAZIONE DELLE PEO = 5860,16 (DATO DEL 2019) + AGGIUNTO 83,20 PER N. 74 DIP AL 31.12.20
15 </t>
        </r>
      </text>
    </comment>
  </commentList>
</comments>
</file>

<file path=xl/sharedStrings.xml><?xml version="1.0" encoding="utf-8"?>
<sst xmlns="http://schemas.openxmlformats.org/spreadsheetml/2006/main" count="1520" uniqueCount="741">
  <si>
    <t>B3</t>
  </si>
  <si>
    <t>D3</t>
  </si>
  <si>
    <t>C1</t>
  </si>
  <si>
    <t>Anno Cessaz.ne</t>
  </si>
  <si>
    <t>Dipendente</t>
  </si>
  <si>
    <t>Cat. / Pos. Ec.</t>
  </si>
  <si>
    <t xml:space="preserve">Data Cessazione </t>
  </si>
  <si>
    <t xml:space="preserve">Valore medio Fondo </t>
  </si>
  <si>
    <t xml:space="preserve">Totale Spesa Annua </t>
  </si>
  <si>
    <t>%  Facoltà Assunzionale</t>
  </si>
  <si>
    <t>Utilizzo Facoltà assunzionale</t>
  </si>
  <si>
    <t>Resti assunzionali</t>
  </si>
  <si>
    <t>Sartoris N.</t>
  </si>
  <si>
    <t>D3 (D4)</t>
  </si>
  <si>
    <t>31.03.2014</t>
  </si>
  <si>
    <t xml:space="preserve">60%                       per Art. 3 c.5 D.L.90/14 </t>
  </si>
  <si>
    <t>Trombadore N.</t>
  </si>
  <si>
    <t>B (B4)</t>
  </si>
  <si>
    <t>18.11.2014</t>
  </si>
  <si>
    <t>Bruno F.</t>
  </si>
  <si>
    <t>C (C4)</t>
  </si>
  <si>
    <t>31.01.2015</t>
  </si>
  <si>
    <t xml:space="preserve">100%                                   per Art. 3 c.5 D.L.90/14 se rapp. Spesa pers./spesa corrente Inf. 25% </t>
  </si>
  <si>
    <t>Saba R.</t>
  </si>
  <si>
    <t>19.06.2015</t>
  </si>
  <si>
    <t>Martini A.</t>
  </si>
  <si>
    <t xml:space="preserve">75% per Art. 1 c.228 L.208/15 </t>
  </si>
  <si>
    <t>Landra D.</t>
  </si>
  <si>
    <t>C (C5)</t>
  </si>
  <si>
    <t>31.08.2017</t>
  </si>
  <si>
    <t>75% per Art. 1 c.479 L.232/16 se rapp.to dip.ti/popolaz. è infer. a rapp. medio</t>
  </si>
  <si>
    <t xml:space="preserve">Locatelli S. </t>
  </si>
  <si>
    <t>B (B7)</t>
  </si>
  <si>
    <t>31.07.2017</t>
  </si>
  <si>
    <t>Buttarello T. F.</t>
  </si>
  <si>
    <t>B (B6)</t>
  </si>
  <si>
    <t>30.09.2017</t>
  </si>
  <si>
    <t>Carnino G.</t>
  </si>
  <si>
    <t>Tabellare + 13^+Ria</t>
  </si>
  <si>
    <t>Ind. IV Liv</t>
  </si>
  <si>
    <t>Ind. Vig.za / Pers.le Educ.vo</t>
  </si>
  <si>
    <t>Ret. Pos.</t>
  </si>
  <si>
    <t>Ret. Risultato/ Media Fondo</t>
  </si>
  <si>
    <t>Totale Oneri diretti</t>
  </si>
  <si>
    <t>Cpdel</t>
  </si>
  <si>
    <t>Inadel</t>
  </si>
  <si>
    <t>Inail</t>
  </si>
  <si>
    <t>Irap</t>
  </si>
  <si>
    <t>Totale Oneri riflessi</t>
  </si>
  <si>
    <t>Totale generale</t>
  </si>
  <si>
    <t>Locatelli S.</t>
  </si>
  <si>
    <t>Buttarello T.F.</t>
  </si>
  <si>
    <t>Facoltà assunzionale compl.va</t>
  </si>
  <si>
    <t>Assunzione Cat. C</t>
  </si>
  <si>
    <t>Assunzione Cat. B</t>
  </si>
  <si>
    <t>Residua Facoltà assunz.le</t>
  </si>
  <si>
    <t>Calcolo spesa per ipotesi assunzioni 2018</t>
  </si>
  <si>
    <t>N Ord</t>
  </si>
  <si>
    <t>COGNOME NOME                                       DIPENDENTE</t>
  </si>
  <si>
    <t xml:space="preserve">                                                Fun. /  Ser.</t>
  </si>
  <si>
    <t>POSIZIONE DEL DIP.TE</t>
  </si>
  <si>
    <t>ASSEGNI          FISSI           ANNUI          LORDI</t>
  </si>
  <si>
    <t>NOTE</t>
  </si>
  <si>
    <t>ONERI SOCIALI OBBLIGATORI</t>
  </si>
  <si>
    <t>Ritenute volontarie carico dip.te</t>
  </si>
  <si>
    <t>RITENUTA IRPEF  A CARICO DIP.TE</t>
  </si>
  <si>
    <t>R</t>
  </si>
  <si>
    <t>F/R</t>
  </si>
  <si>
    <t>Cat. Eco.</t>
  </si>
  <si>
    <t>Indennità vacanza contratt.le (12 mens.tà)</t>
  </si>
  <si>
    <t>Retribuzione Tabellare</t>
  </si>
  <si>
    <t>Retribuz. Individ. Anzianità</t>
  </si>
  <si>
    <t>Assegno pers.le non riassorb.</t>
  </si>
  <si>
    <t>Indennità di posizione</t>
  </si>
  <si>
    <t>Indennità (Ind. 1°/4° Liv. Ind. 8° Liv. Ind. Vig.za Ind. Educ.As.)</t>
  </si>
  <si>
    <t>Indennità di comparto</t>
  </si>
  <si>
    <t>13^            Mensilità</t>
  </si>
  <si>
    <t>Assegno Nucleo Familiare</t>
  </si>
  <si>
    <t>TOTALE COMPL.VO LORDO</t>
  </si>
  <si>
    <t>Straord.     Turni              Reperibilita'</t>
  </si>
  <si>
    <t>IMPONIBILI</t>
  </si>
  <si>
    <t>CONTRIBUTI</t>
  </si>
  <si>
    <t>C.P.D.E.L.</t>
  </si>
  <si>
    <t>I.N.A.D.E.L. P.ZA</t>
  </si>
  <si>
    <t>I.N.AI.L.</t>
  </si>
  <si>
    <t>ASPI            (Inps)</t>
  </si>
  <si>
    <t>IRAP</t>
  </si>
  <si>
    <t>CPDEL  (Ente 23,80% Dip.te 8,85%)</t>
  </si>
  <si>
    <t>INADEL  (Ente 2,88% Dip.te 2,00%)</t>
  </si>
  <si>
    <t>FONDO CREDITO     ( Dip.te 0,35%)</t>
  </si>
  <si>
    <t>INAIL              (Ente 0,5-0,9-1,2-2,3%)</t>
  </si>
  <si>
    <t>ASPI            (Ente 1,61%)</t>
  </si>
  <si>
    <t>TOTALE</t>
  </si>
  <si>
    <t>IRAP           (Ente 8,50%)</t>
  </si>
  <si>
    <t>Imponibile</t>
  </si>
  <si>
    <t>Importo</t>
  </si>
  <si>
    <t xml:space="preserve"> </t>
  </si>
  <si>
    <t>AZZOLINA Patrizia - Istruttore  Amm.vo</t>
  </si>
  <si>
    <t>F1/S2</t>
  </si>
  <si>
    <t>C5</t>
  </si>
  <si>
    <t>GIULIANI Michele - Esecutore Amm.vo</t>
  </si>
  <si>
    <t>B6</t>
  </si>
  <si>
    <t xml:space="preserve">ISOLDI Giuseppina -Esec. Amm.vo P/T </t>
  </si>
  <si>
    <t>B6 50%</t>
  </si>
  <si>
    <t>MEINARDI Ornella - Istr. Diret. (Considerata al 100% anche se retribuita p.time)</t>
  </si>
  <si>
    <t>D3o</t>
  </si>
  <si>
    <t>malattia prolungata</t>
  </si>
  <si>
    <t xml:space="preserve">RICCARDINO G. - Esecut. Amm.vo P/T </t>
  </si>
  <si>
    <t>FR</t>
  </si>
  <si>
    <t>CANNAMELA Veronica - Istruttore</t>
  </si>
  <si>
    <t>C4</t>
  </si>
  <si>
    <t>CAVALETTO Romina - Resp. Sett. Finanz.</t>
  </si>
  <si>
    <t>D2</t>
  </si>
  <si>
    <t>MIGLIETTA Alessandro - Istruttore</t>
  </si>
  <si>
    <t xml:space="preserve">C5 </t>
  </si>
  <si>
    <t>PICCA PICCONE Cinzia - Collab. Prof.le</t>
  </si>
  <si>
    <t>B7</t>
  </si>
  <si>
    <t>PIROZZO Daniele - Operatore</t>
  </si>
  <si>
    <t>A3</t>
  </si>
  <si>
    <t>PERS.LE F/R CONTABILITA' GEN.LE</t>
  </si>
  <si>
    <t>F1/S3</t>
  </si>
  <si>
    <t>D1</t>
  </si>
  <si>
    <t>BRIOLO Antonella - Collab. Prof.le</t>
  </si>
  <si>
    <t xml:space="preserve">MORETTO Daniela - Esecutore </t>
  </si>
  <si>
    <t>PATRUNO Paola - Collaboratore Prof.le</t>
  </si>
  <si>
    <t>TORNATORE Mario - Istruttore direttivo</t>
  </si>
  <si>
    <t>D5</t>
  </si>
  <si>
    <t>ANGILERI Antonino - Istrutt. Geometra</t>
  </si>
  <si>
    <t>D4</t>
  </si>
  <si>
    <t>DE LEO - Istrut. Diret. Tecnico Manut. - PROGR. DAL 1°/01/2017</t>
  </si>
  <si>
    <r>
      <t>FIORITO Emanuele - Istr.Tec.Man.</t>
    </r>
    <r>
      <rPr>
        <sz val="11"/>
        <color theme="1"/>
        <rFont val="Calibri"/>
        <family val="2"/>
        <scheme val="minor"/>
      </rPr>
      <t xml:space="preserve"> P/T 50%</t>
    </r>
  </si>
  <si>
    <t>C2 50%</t>
  </si>
  <si>
    <t>C5 50%</t>
  </si>
  <si>
    <t>USSIA- Esecutore Operaio</t>
  </si>
  <si>
    <t>B1</t>
  </si>
  <si>
    <t xml:space="preserve">LETO- Esecutore Operaio </t>
  </si>
  <si>
    <t>F1/S6</t>
  </si>
  <si>
    <t>BONZANO Loredana - Istruttore Direttivo - Prog. Economica dal 1°/01/2017</t>
  </si>
  <si>
    <t>F1/S7</t>
  </si>
  <si>
    <t>D4o</t>
  </si>
  <si>
    <t>CAPUTO Rocchina - Esecutore Amm.vo</t>
  </si>
  <si>
    <t>B6 Oriz</t>
  </si>
  <si>
    <t>FUSCO Maria Pia - Esecutore</t>
  </si>
  <si>
    <t>B4</t>
  </si>
  <si>
    <t>PORCELLI Antonietta - Istruttore Prog. Economica dal 1°/01/2017</t>
  </si>
  <si>
    <t>PERS.LE  F/R  SERV. DEMOGRAFICO</t>
  </si>
  <si>
    <t>DI FILIPPO Maria Rosaria - Messo notif.</t>
  </si>
  <si>
    <t>F1/S8</t>
  </si>
  <si>
    <t>B5</t>
  </si>
  <si>
    <t>CAUDERA Claudio - Messo</t>
  </si>
  <si>
    <t>BAIMA Daniela - Commissario Vigilanza</t>
  </si>
  <si>
    <t>F3/S1</t>
  </si>
  <si>
    <t>BIOLCATI  Maria Elisa - Istruttore Vigil.za</t>
  </si>
  <si>
    <t>BRESCIA Angelo - Commissario Vigilanza</t>
  </si>
  <si>
    <t xml:space="preserve">PAPALIA Salvatore </t>
  </si>
  <si>
    <t>D4 (da D3G)</t>
  </si>
  <si>
    <t xml:space="preserve">SAVANT ROS Monica </t>
  </si>
  <si>
    <t>C2</t>
  </si>
  <si>
    <t>TESSUTI Marzia - Istruttore Vigilanza</t>
  </si>
  <si>
    <t>C3</t>
  </si>
  <si>
    <t>TRABUCCO - Federico - Istruttore vigilanza</t>
  </si>
  <si>
    <t xml:space="preserve">AUDIA Barbara - Esecutore P/T </t>
  </si>
  <si>
    <t>F4/S5</t>
  </si>
  <si>
    <t>B4 80%</t>
  </si>
  <si>
    <t xml:space="preserve">BASSO Barbara - Collab. Prof.le </t>
  </si>
  <si>
    <t>NAVILLI Antonella - Istruttore</t>
  </si>
  <si>
    <t>PATTI Giulia - Istruttore Diret. (50%) - PROGRESSIONE IN D4 DAL 1°/01/2017</t>
  </si>
  <si>
    <t>CONTROLLARE IMPORTI</t>
  </si>
  <si>
    <t xml:space="preserve">PANATO Franca - Esecutore </t>
  </si>
  <si>
    <t xml:space="preserve">B4 </t>
  </si>
  <si>
    <t>BENEDINI Franco - Istrutto. Dirett. Tecnico ex VIII Q.F.</t>
  </si>
  <si>
    <t>D6</t>
  </si>
  <si>
    <t xml:space="preserve">CHIAPPERO Stefano - Istrut. Tecnico </t>
  </si>
  <si>
    <t xml:space="preserve">CRESTONI A. - Istrut. Amm. </t>
  </si>
  <si>
    <t>F10/S4</t>
  </si>
  <si>
    <t>FESSIA Simona - Istrut. Diret.</t>
  </si>
  <si>
    <t>GOBETTI Vania - Istruttore Dire. Tecnico</t>
  </si>
  <si>
    <t>PERS.LE F/R SETTORE URBANISTICA</t>
  </si>
  <si>
    <t>F9/S1</t>
  </si>
  <si>
    <t>congedo straord. Ai sensi art. 42 D.Lgs 151/01 fino 16.4.17</t>
  </si>
  <si>
    <t>CIUFFREDA Raffaella - Operat. Asilo</t>
  </si>
  <si>
    <t xml:space="preserve">DEL CONTE Antonietta - </t>
  </si>
  <si>
    <t>GIANOLA Giorgina - Operat. Asilo</t>
  </si>
  <si>
    <t>B5 Oriz</t>
  </si>
  <si>
    <t>C5 70%</t>
  </si>
  <si>
    <t>LA VECCHIA Rosa - Operat. Asilo</t>
  </si>
  <si>
    <t>SEGHETTI Elisa - Educatrice Asilo Nido</t>
  </si>
  <si>
    <t>PERS.LE F/R SETTORE ASILO NIDO</t>
  </si>
  <si>
    <t>BORDABOSSANA Maria Grazia - O.S.S.</t>
  </si>
  <si>
    <t>D'AGOSTINO Antonietta - O.S.S.</t>
  </si>
  <si>
    <t>MACORUTTI Anna Maria - O.S.S.</t>
  </si>
  <si>
    <t>MARCHETTI Ornella - O.S.S.</t>
  </si>
  <si>
    <t>ELENA GATTO - Istrutt. Dirett. Cat. D 75% 12 MESI</t>
  </si>
  <si>
    <t>PERRERO Paola - O.S.S.</t>
  </si>
  <si>
    <t xml:space="preserve">    </t>
  </si>
  <si>
    <t>CARTARO Anna - Esecutore amm.vo</t>
  </si>
  <si>
    <t>F11/S5</t>
  </si>
  <si>
    <t>TEDOLDI Davide - Istruttore Amm.vo</t>
  </si>
  <si>
    <t>FONDO TRATTAMENTO ACCESSORIO E STRAORDINARIO (ESCLUSO PROGRESSIONE E COMPARTO)</t>
  </si>
  <si>
    <t xml:space="preserve">           TOTALI COMUNE                        </t>
  </si>
  <si>
    <t xml:space="preserve">TOTALE = </t>
  </si>
  <si>
    <t>RIEPILOGO COMPONENTI SPESA PERSONALE PER CONTENIMENTO MEDIA TRIENNIO</t>
  </si>
  <si>
    <t>Totale costo personale con oneri escluso categorie protette</t>
  </si>
  <si>
    <t>Spesa Buoni Mensa Cap. 800.1.32</t>
  </si>
  <si>
    <t>Spesa Ex Cissp</t>
  </si>
  <si>
    <t xml:space="preserve">Delta spesa </t>
  </si>
  <si>
    <t>ù</t>
  </si>
  <si>
    <t>IN FASE DI ASSUNZIONE</t>
  </si>
  <si>
    <t>CONCORSO - MOBILTà Già ESPERITA</t>
  </si>
  <si>
    <t>Picco R.</t>
  </si>
  <si>
    <t>01.05.2018</t>
  </si>
  <si>
    <t>Landra R.</t>
  </si>
  <si>
    <t>01.06.2018</t>
  </si>
  <si>
    <t>Facoltà assunz.le per 2019</t>
  </si>
  <si>
    <t>REVELLO ILARIA art. 18 dal 01/03/2018</t>
  </si>
  <si>
    <t>GILI BORGHET Marisa - Istruttore -  75%</t>
  </si>
  <si>
    <t>BORRI Andrea - Agente</t>
  </si>
  <si>
    <t xml:space="preserve">VITALI Letizia - Agente </t>
  </si>
  <si>
    <t>ALLORA FEDERICO - ASSUNTO DAL 18/09/2018</t>
  </si>
  <si>
    <t>Elemento Perequativo</t>
  </si>
  <si>
    <t>D5 orizz.</t>
  </si>
  <si>
    <t>D6 - da D3 giur.</t>
  </si>
  <si>
    <t>RINNOVO CONTRATTUALE CCNL 21.5.2018 COMPRENSIVO DI ONERI DA ESCLUDERE IN RIFERIMENTO AL 2011-2013</t>
  </si>
  <si>
    <t>Ferrara G.</t>
  </si>
  <si>
    <t>31.12.2018</t>
  </si>
  <si>
    <t>FERRARA G. PENSIONAMENTO 31.12.2018</t>
  </si>
  <si>
    <t>categorie protette da escludere</t>
  </si>
  <si>
    <t>Spesa media triennio 2011/2013 - Mappano Euro 40.000,00</t>
  </si>
  <si>
    <t>Assunzione Cat. D Informatico</t>
  </si>
  <si>
    <t>Assunzione Cat. C Ammin.vo</t>
  </si>
  <si>
    <t>INFORMATICO - CAT. D</t>
  </si>
  <si>
    <t>Assunzione Cat. C Vigile</t>
  </si>
  <si>
    <t>Previsione Spesa pers.le 2019  n. 72 dipendenti +  staff e art. 110 per 6 mesi con prog. C e assunzione B3 disabile</t>
  </si>
  <si>
    <t>delta spesa per rispetto tetto  2019 CONSIDERANDO ART. 110 E ART. 90 TUTTO L'ANNO</t>
  </si>
  <si>
    <t>Assunzione Cat. C Ammin.vo 70%</t>
  </si>
  <si>
    <t>VITALE ROBERTA - ASSUNTA DAL 5/11/2018</t>
  </si>
  <si>
    <t>CESSATI</t>
  </si>
  <si>
    <t>CESSATI 2017</t>
  </si>
  <si>
    <t>CESSATI 2018</t>
  </si>
  <si>
    <t xml:space="preserve"> cat. C - Picco R.  PENSIONAMENTO DAL 01/05/2018</t>
  </si>
  <si>
    <t>Isttuttore Agente Polizia - cat. C 2018</t>
  </si>
  <si>
    <t>geometra o amministrativo - cat. C 2018</t>
  </si>
  <si>
    <t>Calcolo spesa per ipotesi assunzioni 2019</t>
  </si>
  <si>
    <t>GEOMETRA - CAT. C 2018</t>
  </si>
  <si>
    <t>VIGILE - CAT. C 2018</t>
  </si>
  <si>
    <t>2 CAT. C 2018</t>
  </si>
  <si>
    <t>Calcolo spesa per  assunzioni 2017</t>
  </si>
  <si>
    <t>operai</t>
  </si>
  <si>
    <t>PROGRESSIONE VERTICALE B3/C  UTILIZZA RESTI ASSUNZIONALI UTILIZZANDO IL COSTO DEL B3 QUALE RESTO ASSUNZIONALE PER IL 2020</t>
  </si>
  <si>
    <t>Comuni soggetti al patto di stabilità</t>
  </si>
  <si>
    <t>COMPONENTI CONSIDERATE PER LA DETERMINAZIONE DEL TETTO DI SPESA:</t>
  </si>
  <si>
    <t xml:space="preserve">Totale intervento 1 - Personale </t>
  </si>
  <si>
    <t>+</t>
  </si>
  <si>
    <t>di cui:</t>
  </si>
  <si>
    <t>Retribuzioni lorde (trattamento fisso e accessorio) corrisposte al personale con contratto di lavoro a tempo indeterminato e determinato</t>
  </si>
  <si>
    <t>Oneri riflessi a carico del datore di lavoro per contributi obbligatori</t>
  </si>
  <si>
    <t>Oneri per il nucleo familiare, buoni pasto (se contabilizzati nell'interv. 1) e spese per equo indennizzo</t>
  </si>
  <si>
    <t>Spese sostenute dall'Ente per il personale in convenzione (ai sensi degli artt. 13 e 14 del CCNL 22/01/2004) per la quota parte di costo effettivamente sostenuto</t>
  </si>
  <si>
    <t>Spese per incarichi ex artt. 90 e 110, commi 1 e 2 del TUEL</t>
  </si>
  <si>
    <t>Spese per il personale con contratti di formazione e lavoro</t>
  </si>
  <si>
    <t>Spese per personale utilizzato, senza estinzione del rapporto di pubblico impiego, in strutture e organismi variamente denominati partecipati o comunque facenti capo all'ente (compresi i consorzi, le comunità montane e le unioni di comuni)</t>
  </si>
  <si>
    <t>Spese per collaborazioni coordinate e continuative, altre forme di lavoro flessibile (es. inteninali, tirocini, ecc.), con convenzioni, LSU, buoni lavoro art. 70 D.Lgs. 276/2003 (se contabilizzate nell'interv. 1)</t>
  </si>
  <si>
    <t xml:space="preserve">Rimborsi pagati per personale comandato da altre amministrazioni (se contabilizzati nell'interv. 1)                                                       </t>
  </si>
  <si>
    <t>Spese derivanti dai rinnovi contrattuali in corso</t>
  </si>
  <si>
    <t>Spese per collaborazioni coordinate e continuative, altre forme di lavoro flessibile (es. inteninali, tirocini, ecc.), con convenzioni, LSU, buoni lavoro art. 70 D.Lgs. 276/2003 (se contabilizzate in un intervento diverso dall'1, come ad es. nell'interv. 3)</t>
  </si>
  <si>
    <t xml:space="preserve">Rimborsi pagati per personale comandato da altre amministrazioni (se contabilizzati in un intervento diverso dall'1, come ad es. nell'interv. 5)                                                      </t>
  </si>
  <si>
    <t>Altre spese contabilizzate in interventi diversi dall'intervento 1 (ad es. rimborsi per missioni, spese di formazione, buoni pasto, ecc.)</t>
  </si>
  <si>
    <t>TOTALE PARZIALE (COMPONENTI SPESA PERSONALE CONTABILIZZATE NELLE SPESE CORRENTI)</t>
  </si>
  <si>
    <t>TOTALE SPESA DI PERSONALE</t>
  </si>
  <si>
    <t>COMPONENTI ESCLUSE:</t>
  </si>
  <si>
    <t>Spese derivanti dai rinnovi contrattuali pregressi (compresi aumenti delle risorse stabili del fondo per la contrattazione decentrata)</t>
  </si>
  <si>
    <t>-</t>
  </si>
  <si>
    <t xml:space="preserve">Costo personale comandato ad altre amministrazioni (e da queste rimborsato)                                                 </t>
  </si>
  <si>
    <t>Spese per assunzione di lavoratori categorie protette (per la quota d'obbligo)</t>
  </si>
  <si>
    <t>Spese per formazione del personale</t>
  </si>
  <si>
    <t>Rimborsi per missioni</t>
  </si>
  <si>
    <t>Spese personale il cui costo sia a carico di finanziamenti comunitari o privati</t>
  </si>
  <si>
    <t>Spese per straordinari ed altri oneri di personale rimborsati dallo Stato (dalla Regione o dalla Provincia) per attività elettorale</t>
  </si>
  <si>
    <t>Spese di personale per l'esecuzione delle operazioni censuarie degli enti individuati nel Piano generale di censimento nei limiti delle risorse trasferite dall'ISTAT (D.L. 78/2010, art. 50, commi 2 e 7)</t>
  </si>
  <si>
    <t>Spese per personale trasferito dalle Regioni o dallo Stato per l'esercizio di funzioni delegate</t>
  </si>
  <si>
    <t>Spese per assunzioni stagionali a progetto finalizzate al miglioramento della circolazione stradale e finanziate con i proventi delle violazioni al codice della strada (Circolare Ministero dell'Interno n. FL 05/2007 dell' 8 marzo 2007)</t>
  </si>
  <si>
    <t>Spese per assunzioni in deroga ai sensi dell'art. 3, comma 120, della Legge n. 244/2007 (effettuate prima del 31/05/2010)</t>
  </si>
  <si>
    <t>Spese per incentivi al personale per progettazione opere pubbliche, ICI, condoni, avvocatura</t>
  </si>
  <si>
    <t>Diritti di rogito spettanti al Segretario Comunale</t>
  </si>
  <si>
    <t>Oneri riflessi relativi alle spese di cui ai punti precedenti</t>
  </si>
  <si>
    <t>Irap relativo alle spese di cui ai punti precedenti (non 8 perché versato direttamente dall'ente cui il personale è stato comandato e 9 perché le spese per le categorie protette non sono soggette a IRAP)</t>
  </si>
  <si>
    <t>Oneri a carico del datore di lavoro per adesione al Fondo Perseo da parte dei dipendenti (delibera Corte dei conti Piemonte n. 380/2013)</t>
  </si>
  <si>
    <t>Per gli Enti con popolazione compresa tra 1001 e 5000 abitanti: spese di personale stagionale assunto con contratto a tempo determinato, necessarie a garantire l'esercizio delle funzioni di polizia locale in ragione di motivate caratteristiche socio-economiche e territoriali connesse a significative presenze di turisti (art. 11, comma 4-quater, D.L. n. 90/2014)</t>
  </si>
  <si>
    <t>TOTALE COMPONENTI ESCLUSE</t>
  </si>
  <si>
    <t>COMPONENTI ASSOGGETTATE AL LIMITE DI SPESA</t>
  </si>
  <si>
    <t>MEDIA DEL TRIENNIO 2011-2012-2013</t>
  </si>
  <si>
    <t>L'ente rispetta il vincolo relativo al contenumento della spesa di personale ?</t>
  </si>
  <si>
    <t>cessione SPESA PERSONALE MAPPANO</t>
  </si>
  <si>
    <t>TOTALE MEDIA DEL TRIENNIO 2011-2012-2013 - MAPPANO</t>
  </si>
  <si>
    <t>ELEMENTO PEREQUATIVO</t>
  </si>
  <si>
    <t xml:space="preserve">Dal 1.3.2018 al 31.12.2018
</t>
  </si>
  <si>
    <t>10 MESI</t>
  </si>
  <si>
    <t>Categoria</t>
  </si>
  <si>
    <t>Dal 1.1.2016</t>
  </si>
  <si>
    <t>Dal 1.1.2017</t>
  </si>
  <si>
    <t>Dal 1.1.2018</t>
  </si>
  <si>
    <t>Dal 1.1.2019</t>
  </si>
  <si>
    <t>12 Mensilità</t>
  </si>
  <si>
    <t>13 Mensilità</t>
  </si>
  <si>
    <t>n dip</t>
  </si>
  <si>
    <t>VALORE MENSILE</t>
  </si>
  <si>
    <t>A1</t>
  </si>
  <si>
    <t xml:space="preserve">A1 </t>
  </si>
  <si>
    <t>A2</t>
  </si>
  <si>
    <t xml:space="preserve">A2 </t>
  </si>
  <si>
    <t>cat. Prot.</t>
  </si>
  <si>
    <t>A4</t>
  </si>
  <si>
    <t xml:space="preserve">A4 </t>
  </si>
  <si>
    <t>A5</t>
  </si>
  <si>
    <t xml:space="preserve">A5 </t>
  </si>
  <si>
    <t xml:space="preserve">B1 </t>
  </si>
  <si>
    <t>B2</t>
  </si>
  <si>
    <t xml:space="preserve">B2 </t>
  </si>
  <si>
    <t xml:space="preserve">B3 </t>
  </si>
  <si>
    <t xml:space="preserve">B5 </t>
  </si>
  <si>
    <t xml:space="preserve">B6 </t>
  </si>
  <si>
    <t>1 protetta non contata</t>
  </si>
  <si>
    <t xml:space="preserve">B7 </t>
  </si>
  <si>
    <t xml:space="preserve">C3 </t>
  </si>
  <si>
    <t xml:space="preserve">C4 </t>
  </si>
  <si>
    <t xml:space="preserve">D1 </t>
  </si>
  <si>
    <t xml:space="preserve">D2 </t>
  </si>
  <si>
    <t xml:space="preserve">D3 </t>
  </si>
  <si>
    <t xml:space="preserve">D5 </t>
  </si>
  <si>
    <t xml:space="preserve">D6 </t>
  </si>
  <si>
    <t>ARRETRATI</t>
  </si>
  <si>
    <t>ELEM . PEREQ</t>
  </si>
  <si>
    <t>APPLICAZIONE CCNL COMPRESO ONERI E IRAP 2018</t>
  </si>
  <si>
    <t>APPLICAZIONE CCNL COMPRESO ONERI E IRAP 2019</t>
  </si>
  <si>
    <t>CPDEL 23,80%</t>
  </si>
  <si>
    <t>INADEL</t>
  </si>
  <si>
    <t xml:space="preserve">IRAP 8,5% </t>
  </si>
  <si>
    <t>allora</t>
  </si>
  <si>
    <t>vitale</t>
  </si>
  <si>
    <t>valente</t>
  </si>
  <si>
    <t xml:space="preserve">LANDRA R. </t>
  </si>
  <si>
    <t>dardino</t>
  </si>
  <si>
    <t>C5 SENZA PICCO</t>
  </si>
  <si>
    <t>PICCO</t>
  </si>
  <si>
    <t>benedetto</t>
  </si>
  <si>
    <t>D4 SENZA LANDRA + LANDRA PEREQUATIVO</t>
  </si>
  <si>
    <r>
      <t xml:space="preserve">Altre spese non contabilizzate nelle spese correnti (ad es. spese elettorali rimborsate dallo Stato o da altri Enti pubblici, spese per censimento ISTAT, se contabilizzate a "partite di giro", ecc.) </t>
    </r>
    <r>
      <rPr>
        <b/>
        <sz val="10"/>
        <rFont val="Arial"/>
        <family val="2"/>
      </rPr>
      <t>Spesa Ex Cissp</t>
    </r>
  </si>
  <si>
    <t>CESSATI 2019</t>
  </si>
  <si>
    <t>Facoltà assunzionale ceduta a Mappano al 01/01/2018</t>
  </si>
  <si>
    <t>Facoltà assunzionale ceduta a Unione Net ( vedi prot. n. 2415 del 6/02/2019)</t>
  </si>
  <si>
    <t>TOT VACANZA CONTRATTUALE 2019</t>
  </si>
  <si>
    <t>N. dip</t>
  </si>
  <si>
    <t>COGNOME</t>
  </si>
  <si>
    <t>INCREMENTO TABELLARE</t>
  </si>
  <si>
    <t>CPDEL  23,8</t>
  </si>
  <si>
    <t>INADEL 2,88</t>
  </si>
  <si>
    <t>aliquota INAIL</t>
  </si>
  <si>
    <t>INAIL aliq. media:
11,85 per mille</t>
  </si>
  <si>
    <t>IRAP 8,5</t>
  </si>
  <si>
    <t>Aliquota INAIL</t>
  </si>
  <si>
    <t>VALORE ANNUALE</t>
  </si>
  <si>
    <t>Pirozzo</t>
  </si>
  <si>
    <t>Leto</t>
  </si>
  <si>
    <t>Ussia</t>
  </si>
  <si>
    <t>Panato</t>
  </si>
  <si>
    <t xml:space="preserve">Audia </t>
  </si>
  <si>
    <t>Bordabossana</t>
  </si>
  <si>
    <t xml:space="preserve">Gianola </t>
  </si>
  <si>
    <t xml:space="preserve">Macorutti </t>
  </si>
  <si>
    <t xml:space="preserve"> Perrero </t>
  </si>
  <si>
    <t xml:space="preserve">Cartaro </t>
  </si>
  <si>
    <t xml:space="preserve">Caudera </t>
  </si>
  <si>
    <t>Di Filippo</t>
  </si>
  <si>
    <t>Caputo</t>
  </si>
  <si>
    <t xml:space="preserve">Ciuffreda </t>
  </si>
  <si>
    <t xml:space="preserve">D'Agostino </t>
  </si>
  <si>
    <t>Del Conte</t>
  </si>
  <si>
    <t>La Vecchia</t>
  </si>
  <si>
    <t>Marchetti</t>
  </si>
  <si>
    <t>Briolo</t>
  </si>
  <si>
    <t>Fusco</t>
  </si>
  <si>
    <t>Giuliani</t>
  </si>
  <si>
    <t>Isoldi</t>
  </si>
  <si>
    <t>Moretto</t>
  </si>
  <si>
    <t>Riccardino</t>
  </si>
  <si>
    <t>Rizzi</t>
  </si>
  <si>
    <t>Patruno</t>
  </si>
  <si>
    <t>Picca</t>
  </si>
  <si>
    <t>Allora</t>
  </si>
  <si>
    <t>Borri</t>
  </si>
  <si>
    <t>Revello</t>
  </si>
  <si>
    <t>Vitale Roberta</t>
  </si>
  <si>
    <t>Vitali Letizia</t>
  </si>
  <si>
    <t>Andolina</t>
  </si>
  <si>
    <t>Fiorito</t>
  </si>
  <si>
    <t>Tessa</t>
  </si>
  <si>
    <t>Basso</t>
  </si>
  <si>
    <t>Chiappero</t>
  </si>
  <si>
    <t>Tedoldi</t>
  </si>
  <si>
    <t>Tessuti</t>
  </si>
  <si>
    <t>Trabucco</t>
  </si>
  <si>
    <t>Cannamela</t>
  </si>
  <si>
    <t>Seghetti</t>
  </si>
  <si>
    <t>Azzolina</t>
  </si>
  <si>
    <t>Biolcati</t>
  </si>
  <si>
    <t>Botta</t>
  </si>
  <si>
    <t>Crestoni</t>
  </si>
  <si>
    <t>Frassati</t>
  </si>
  <si>
    <t>Gili</t>
  </si>
  <si>
    <t>India</t>
  </si>
  <si>
    <t>Miglietta</t>
  </si>
  <si>
    <t>Navilli</t>
  </si>
  <si>
    <t>Savant</t>
  </si>
  <si>
    <t>Gatto</t>
  </si>
  <si>
    <t>De Leo</t>
  </si>
  <si>
    <t>Cavaletto</t>
  </si>
  <si>
    <t>Fessia</t>
  </si>
  <si>
    <t>Giunta</t>
  </si>
  <si>
    <t>Gobetti</t>
  </si>
  <si>
    <t>Meinardi</t>
  </si>
  <si>
    <t>Angileri</t>
  </si>
  <si>
    <t>Baima</t>
  </si>
  <si>
    <t>Brescia</t>
  </si>
  <si>
    <t>Patti</t>
  </si>
  <si>
    <t>Bonzano</t>
  </si>
  <si>
    <t>Porcelli</t>
  </si>
  <si>
    <t>Papalia</t>
  </si>
  <si>
    <t>Tornatore</t>
  </si>
  <si>
    <t>Benedini</t>
  </si>
  <si>
    <t>APPLICAZIONE ARRETRATI CONTRATTUALI E ELEM PEREQUATIVO CCNL 2009 COMPRESO ONERI E IRAP 2019</t>
  </si>
  <si>
    <t>incremento fondo dal 2019 ccnl 21.5.2018 (83,2 € a testa)</t>
  </si>
  <si>
    <t>N. DIPENDENTI IN SERVIZIO AL 31.12.2015 (CON ART. 110)</t>
  </si>
  <si>
    <r>
      <t xml:space="preserve">VACANZA CONTRATTUALE </t>
    </r>
    <r>
      <rPr>
        <sz val="10"/>
        <rFont val="Arial"/>
        <family val="2"/>
      </rPr>
      <t>nella misura percentuale, rispetto agli stipendi tabellari, d dello 0,7 per cento a decorrere dal 1° luglio 2019;</t>
    </r>
  </si>
  <si>
    <r>
      <t xml:space="preserve">elemento perequativo </t>
    </r>
    <r>
      <rPr>
        <sz val="10"/>
        <rFont val="Arial"/>
        <family val="2"/>
      </rPr>
      <t xml:space="preserve">una tantum ove previsto dai relativi contratti collettivi nazionali di lavoro riferiti al triennio2016-2018, nelle misure, con le modalità e i criteri ivi definiti e con decorrenza dal 1°gennaio 2019 </t>
    </r>
  </si>
  <si>
    <t>CON 13 Mensilità</t>
  </si>
  <si>
    <t>DIFF TABELARI 2015-2019</t>
  </si>
  <si>
    <t>APPLICAZIONE CCNL 2018 RISPETTO CCNL 2009 COMPRESO ONERI E IRAP 2019</t>
  </si>
  <si>
    <t>CON 12 Mensilità</t>
  </si>
  <si>
    <t>B3 art. 1</t>
  </si>
  <si>
    <t xml:space="preserve">INAIL 
</t>
  </si>
  <si>
    <t>Comune di LEINI - Spese per il personale</t>
  </si>
  <si>
    <t>Facoltà assunzionale utilizzata per le PO - Delibera n. 132 del 10.5.2019</t>
  </si>
  <si>
    <t>SONIA RIZZI (prog verticlae 25.3.2019)</t>
  </si>
  <si>
    <t>Vac. Contr. e Elemento Perequativo</t>
  </si>
  <si>
    <t>Cat. D3 D4 - Landra R. pensionamento dal 01/06/2018 NON CONTATA PO perché PRESA DA PATTI</t>
  </si>
  <si>
    <t>Valente Luca - dimesso il 01/03/2019 C1</t>
  </si>
  <si>
    <t>Massa marina - dimessa il 01/07/2019 - mantenimento posto 4 mesi e assunzione possibile solo dal 01/11/2019 C1</t>
  </si>
  <si>
    <t>B3 B6</t>
  </si>
  <si>
    <t>25.3.2019</t>
  </si>
  <si>
    <t>1.3.2019</t>
  </si>
  <si>
    <t>1.7.2019</t>
  </si>
  <si>
    <t>Facoltà assunz.le per 2019 e 2020</t>
  </si>
  <si>
    <t>Da utilizzare dal 26.3.2019 in poi</t>
  </si>
  <si>
    <t>Da utilizzare dal 1.3.2019 in poi</t>
  </si>
  <si>
    <t>Da utilizzare dal 1.11.2019 in poi</t>
  </si>
  <si>
    <t>MAFFEO SILVIA DAL 10.6.2019</t>
  </si>
  <si>
    <t>MAFFEO SILVIA DAL 10.6.2019 cat C</t>
  </si>
  <si>
    <t>AMMINISTRATIVO - C progressione verticale AVVENUTA IN DATA 25.3.2019</t>
  </si>
  <si>
    <t>VIGILE CAT C1</t>
  </si>
  <si>
    <t>AMMINISTRATIVO CAT C1</t>
  </si>
  <si>
    <t>IPOTESI ASSUNZIONI 2020</t>
  </si>
  <si>
    <t>Da utilizzare dal 1.4.2020 in poi</t>
  </si>
  <si>
    <t>CESSATI 2020</t>
  </si>
  <si>
    <t>Frassati Franco FINO AL 30.3.2020</t>
  </si>
  <si>
    <t>31.3.2020</t>
  </si>
  <si>
    <t>Isoldi Giuseppina 50%</t>
  </si>
  <si>
    <t>31.12.2020</t>
  </si>
  <si>
    <t>ISOLDI GIUSEPPINA B3 B6 50%</t>
  </si>
  <si>
    <t>Da utilizzare dal 1.1.2021 in poi</t>
  </si>
  <si>
    <t>Facoltà assunz.le per 2020 e 2021</t>
  </si>
  <si>
    <t>Categoria Protetta art. 1 -  B3 - Casale Luisa dal 25.3.2019</t>
  </si>
  <si>
    <t>maffeo</t>
  </si>
  <si>
    <t xml:space="preserve">ASSUNZIONE net </t>
  </si>
  <si>
    <t>Totale spesa presunta 2019</t>
  </si>
  <si>
    <t>cat protetta</t>
  </si>
  <si>
    <t>catr protetta</t>
  </si>
  <si>
    <t>CASALE</t>
  </si>
  <si>
    <t>Spesa del personale categorie protette Giuliani - Pirozzo - REVELLO + casale</t>
  </si>
  <si>
    <t>cedoloni (SISTEMA dasein) previsione 2020</t>
  </si>
  <si>
    <t>Stanziamenti 2020(da previsione)</t>
  </si>
  <si>
    <t xml:space="preserve">RIZZI Sonia - </t>
  </si>
  <si>
    <t xml:space="preserve">RIMBORSO SPESA SEGRETARIO C.LE </t>
  </si>
  <si>
    <t>limite flessibile 2009</t>
  </si>
  <si>
    <t>spese 2019</t>
  </si>
  <si>
    <t>staff nuovo</t>
  </si>
  <si>
    <t>TOTALE 2019</t>
  </si>
  <si>
    <t>MARGINE FLESSIBILE 2019</t>
  </si>
  <si>
    <t>120.1.1</t>
  </si>
  <si>
    <t>120.10.1</t>
  </si>
  <si>
    <t>120.1.2  F/R</t>
  </si>
  <si>
    <t>230.1.1</t>
  </si>
  <si>
    <t>340.1.1</t>
  </si>
  <si>
    <t>560.1.1</t>
  </si>
  <si>
    <t>560.1.2 F/R</t>
  </si>
  <si>
    <t>670.1.1</t>
  </si>
  <si>
    <t>780.1.1</t>
  </si>
  <si>
    <t>780.10.1</t>
  </si>
  <si>
    <t>1110.1.1</t>
  </si>
  <si>
    <t>1880.1.1</t>
  </si>
  <si>
    <t>3090.1.1</t>
  </si>
  <si>
    <t>3750.1.1</t>
  </si>
  <si>
    <t>3970.1.1</t>
  </si>
  <si>
    <t>4740.1.1</t>
  </si>
  <si>
    <t>ONERI DIRETTI</t>
  </si>
  <si>
    <t>ONERI RIFLESSI</t>
  </si>
  <si>
    <t>CAPITOLO</t>
  </si>
  <si>
    <t>COSTO</t>
  </si>
  <si>
    <t>120.1.6</t>
  </si>
  <si>
    <t>180.1.2</t>
  </si>
  <si>
    <t>120.1.2 F/R</t>
  </si>
  <si>
    <t>120.1.7 F/R</t>
  </si>
  <si>
    <t>180.1.2 F/R</t>
  </si>
  <si>
    <t>120.10.6</t>
  </si>
  <si>
    <t>230.1.6</t>
  </si>
  <si>
    <t>290.1.2</t>
  </si>
  <si>
    <t>340.1.6</t>
  </si>
  <si>
    <t>400.1.2</t>
  </si>
  <si>
    <t>560.1.6</t>
  </si>
  <si>
    <t>620.1.2</t>
  </si>
  <si>
    <t>560.1.7 F/R</t>
  </si>
  <si>
    <t>620.1.2 F/R</t>
  </si>
  <si>
    <t>670.1.6</t>
  </si>
  <si>
    <t>730.1.2</t>
  </si>
  <si>
    <t>780.1.6</t>
  </si>
  <si>
    <t>840.1.2</t>
  </si>
  <si>
    <t>780.10.6</t>
  </si>
  <si>
    <t>840.2.1</t>
  </si>
  <si>
    <t>1110.1.6</t>
  </si>
  <si>
    <t>1170.1.2</t>
  </si>
  <si>
    <t>1880.1.6</t>
  </si>
  <si>
    <t>1940.1.2</t>
  </si>
  <si>
    <t>3090.1.6</t>
  </si>
  <si>
    <t>3150.1.2</t>
  </si>
  <si>
    <t>3750.1.6</t>
  </si>
  <si>
    <t>3970.1.6</t>
  </si>
  <si>
    <t>4740.1.6</t>
  </si>
  <si>
    <t>4800.1.1</t>
  </si>
  <si>
    <t>CPDEL</t>
  </si>
  <si>
    <t>INAIL</t>
  </si>
  <si>
    <t>ASPI</t>
  </si>
  <si>
    <t>Resti assunzionali da poter utilizzare nel 2018</t>
  </si>
  <si>
    <t xml:space="preserve"> Resti assunzioni per il 2019                    CESSAZ. 2018 (PICCO - LANDRA - FERRARA)</t>
  </si>
  <si>
    <t>somma resti assunzionali</t>
  </si>
  <si>
    <t>cat D informatico già considerata nel bilancio della spesa del personale per il 2019</t>
  </si>
  <si>
    <t>NUOVE ASSUNZIONI</t>
  </si>
  <si>
    <t>IPOTESI 3 CATEGORIE C :                                      1 Amm.vo + 1 Educatore + 1 Vigile</t>
  </si>
  <si>
    <t>CONSIDERARE EVENTUALMENTE 1 POSTO P TIME 70%</t>
  </si>
  <si>
    <t>TOTALE SPESA PERSONALE 2020</t>
  </si>
  <si>
    <t>ANF</t>
  </si>
  <si>
    <t>PELUSO Sandrina - Esecutore                                            IN MOBLITA' AL COMUNE DI MAPPANO DAL 15/12/2019</t>
  </si>
  <si>
    <t>Tolta Peluso</t>
  </si>
  <si>
    <t xml:space="preserve">BOTTA Adriana - Educ. Asilo Nido </t>
  </si>
  <si>
    <t>Irap Gatto</t>
  </si>
  <si>
    <t>STAFF DEL SINDACO CAT C1 55%</t>
  </si>
  <si>
    <t>Totale spesa presunta 2020 AL NETTO DEI RINNOVI CCNL</t>
  </si>
  <si>
    <t>FRASSATI Franco - Istruttore dimissioni dal 01/04/2020</t>
  </si>
  <si>
    <t>Codice della strada previdenza complementare</t>
  </si>
  <si>
    <t>C6</t>
  </si>
  <si>
    <t>no casale</t>
  </si>
  <si>
    <t>Bordabossana no irap</t>
  </si>
  <si>
    <t>gianola-macorutti-perrero no irap</t>
  </si>
  <si>
    <t>1 protetta non contata e Ciuffreda-del conte-la vecchia-d'agostino-marchetti no irap</t>
  </si>
  <si>
    <t>Andolina no irap</t>
  </si>
  <si>
    <t>seghetti no irap</t>
  </si>
  <si>
    <t xml:space="preserve">india e botta no irap - contati anche i 3 che hanno fatto progressione in c6 - </t>
  </si>
  <si>
    <t>INDIA Rita - Educatrice Asilo Nido P/T 70%</t>
  </si>
  <si>
    <t>EDUCATRICE</t>
  </si>
  <si>
    <t>GIUNTA Silvia                                                                    ART.110/267 in D.O.sino alla scadenza del mandato sindaco (giugno 2019) PERS.LE F/R TECNICO LL.PP. IPOTESI SPESA PER 12 MESI NEL 2020</t>
  </si>
  <si>
    <t>t12</t>
  </si>
  <si>
    <t>t13</t>
  </si>
  <si>
    <t>arretrati CCNL 2019-2021</t>
  </si>
  <si>
    <t>TOTALE ARRETRATI CCNL 2019-2021 AL NETTO DELL'IVC</t>
  </si>
  <si>
    <t>RINNOVI CCNL 2019-2021</t>
  </si>
  <si>
    <t>RINNOVO CONTRATTUALE CCNL 2019-2021</t>
  </si>
  <si>
    <t>ISTRUTTORE AMMINISTRATIVO CAT C - EX EDUCATORE</t>
  </si>
  <si>
    <t>IPOTESI ASSUNZIONI 2019 - NON REALIZZATE CHE SI AVVIERANNO NEL 2020</t>
  </si>
  <si>
    <t>AMMINISTRATIVO CAT C1 AL POSTO DI MASSA MARINA</t>
  </si>
  <si>
    <t>RESTI ASSUNZIONALI A FINE 2020 CHE SI POTRANNO SPENDERE DAL 1.1.2021 DAL GIORNO DOPO LA CESSAZIONE DI ISOLDI</t>
  </si>
  <si>
    <t>Altre spese contabilizzate nell'intervento 1 (ad es. rimborsi per missioni, spese di formazione, PREVIDENZA COMPLETARE CDS, ecc.)</t>
  </si>
  <si>
    <t>DA SPENDERE SOLO DOPO IL PENSIONAMENTO DI ISOLDI 1.1.2021</t>
  </si>
  <si>
    <t>INFORMATICO CAT .D CONCORSO  DAL 1.1.2020</t>
  </si>
  <si>
    <t>Fes 2020</t>
  </si>
  <si>
    <t>IMPEGNO</t>
  </si>
  <si>
    <t>stanz</t>
  </si>
  <si>
    <t>2017</t>
  </si>
  <si>
    <t>1°  IMPEGNO</t>
  </si>
  <si>
    <t>INTEGRAZ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</si>
  <si>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</si>
  <si>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</si>
  <si>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</si>
  <si>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</si>
  <si>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</si>
  <si>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</si>
  <si>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</si>
  <si>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</si>
  <si>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</si>
  <si>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</si>
  <si>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</si>
  <si>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</si>
  <si>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liquidazioni  precedenti</t>
  </si>
  <si>
    <t xml:space="preserve"> ordinativi emessi</t>
  </si>
  <si>
    <t>disponibile</t>
  </si>
  <si>
    <t>disponile</t>
  </si>
  <si>
    <t>cpdel</t>
  </si>
  <si>
    <t>irap</t>
  </si>
  <si>
    <t>TURNI</t>
  </si>
  <si>
    <t>AMM.VO</t>
  </si>
  <si>
    <t>segreteria</t>
  </si>
  <si>
    <t>120.1/3</t>
  </si>
  <si>
    <t>VIGILI</t>
  </si>
  <si>
    <t xml:space="preserve"> 1110.1/4 </t>
  </si>
  <si>
    <t>1110.1/6</t>
  </si>
  <si>
    <t>1170.1/2</t>
  </si>
  <si>
    <t>contratti</t>
  </si>
  <si>
    <t>ASILO</t>
  </si>
  <si>
    <t xml:space="preserve"> 3750.1/4 </t>
  </si>
  <si>
    <t>3750.1/6</t>
  </si>
  <si>
    <t xml:space="preserve"> -   </t>
  </si>
  <si>
    <t>Organi istituzionali</t>
  </si>
  <si>
    <t>CAPIRONE</t>
  </si>
  <si>
    <t xml:space="preserve"> 3970.1/4 </t>
  </si>
  <si>
    <t>3090.1/6</t>
  </si>
  <si>
    <t>servizio messi</t>
  </si>
  <si>
    <t>780.1/3</t>
  </si>
  <si>
    <t>demografici</t>
  </si>
  <si>
    <t>670.1/3</t>
  </si>
  <si>
    <t>REPERIBILITA'</t>
  </si>
  <si>
    <t>1110.1/4</t>
  </si>
  <si>
    <t xml:space="preserve"> 1110.1/6 </t>
  </si>
  <si>
    <t>SERV. GENERALI</t>
  </si>
  <si>
    <t>informatico</t>
  </si>
  <si>
    <t>780.14/1</t>
  </si>
  <si>
    <t>POLZIA LOCALE</t>
  </si>
  <si>
    <t>polizia locale</t>
  </si>
  <si>
    <t>1110.1/3</t>
  </si>
  <si>
    <t>LL.PP.</t>
  </si>
  <si>
    <t>ufficio tecnico</t>
  </si>
  <si>
    <t>560.1/3</t>
  </si>
  <si>
    <t>EDIL.PRIVATA</t>
  </si>
  <si>
    <t>urbanistica</t>
  </si>
  <si>
    <t>3090.1/3</t>
  </si>
  <si>
    <t>servizio personale</t>
  </si>
  <si>
    <t>120.10/3</t>
  </si>
  <si>
    <t>780.1/5</t>
  </si>
  <si>
    <t>FINANZIARI</t>
  </si>
  <si>
    <t>contabilità g.le</t>
  </si>
  <si>
    <t>230.1/3</t>
  </si>
  <si>
    <t>tributi</t>
  </si>
  <si>
    <t>340.1/3</t>
  </si>
  <si>
    <t>serv. al commercio</t>
  </si>
  <si>
    <t>4740.1/3</t>
  </si>
  <si>
    <t>ISTRUZIONE, CULTURA SPORT TEMPO LIBERO</t>
  </si>
  <si>
    <t>assisten. Scolastica</t>
  </si>
  <si>
    <t>1880.1/3</t>
  </si>
  <si>
    <t>asilo nido</t>
  </si>
  <si>
    <t>3750.1/3</t>
  </si>
  <si>
    <t>F.DO</t>
  </si>
  <si>
    <t>capirone</t>
  </si>
  <si>
    <t>3970.1/3</t>
  </si>
  <si>
    <t>STRAORDINARI 2020</t>
  </si>
  <si>
    <t>CHIAPPERO</t>
  </si>
  <si>
    <t xml:space="preserve"> 1110.1/7</t>
  </si>
  <si>
    <t xml:space="preserve"> 1110.1/8</t>
  </si>
  <si>
    <t>1170.1/3</t>
  </si>
  <si>
    <t>1170.1/4</t>
  </si>
  <si>
    <t>TURNI E REPERIBILITA'</t>
  </si>
  <si>
    <t>DA IMPEGNARE</t>
  </si>
  <si>
    <t>COMPARTO , PEO, ecc)</t>
  </si>
  <si>
    <t>TOTALE ONERI + IRAP</t>
  </si>
  <si>
    <t>totale Complessivo</t>
  </si>
  <si>
    <t>3090.1/4</t>
  </si>
  <si>
    <t>3150.1/2</t>
  </si>
  <si>
    <t>VERNEAU Diana - Segretario Gen.le</t>
  </si>
  <si>
    <t>Previsione Spesa pers.le 2020  n. 72 dipendenti +  staff e 2 art. 110 E 2 VIGILI</t>
  </si>
  <si>
    <t>Facoltà assunz.le per 2020 (CONTEGGIATO   2 vigili )</t>
  </si>
  <si>
    <t>INSERIRE SPESA DEL PERSONALE RILEVATA DALL'ULTIMO RENDICONTO APPROVATO</t>
  </si>
  <si>
    <t>INSERIRE RENDICONTO APPROVATO RIFERITO ALL'ANNO 2018 :  ENTRATE CORRENTI: ACCERTAMENTI DI COMPETENZA AL NETTO DEL FONDO CREDITI DUBBIA ESIGIBILITA' STANZIATO NEL BILANCIO DI PREVISIONE RELATIVO ALL'ULTIMA ANNUALITA' CONSIDERATA</t>
  </si>
  <si>
    <t xml:space="preserve">INSERIRE RENDICONTO APPROVATO RIFERITO ALL'ANNO 2017 :  ENTRATE CORRENTI: ACCERTAMENTI DI COMPETENZA </t>
  </si>
  <si>
    <t xml:space="preserve">INSERIRE RENDICONTO APPROVATO RIFERITO ALL'ANNO 2016 :  ENTRATE CORRENTI: ACCERTAMENTI DI COMPETENZA </t>
  </si>
  <si>
    <t xml:space="preserve">MEDIA DEGLI ULTIMI TRE RENDICONTI APPROVATI -  ENTRATE CORRENTI: ACCERTAMENTI DI COMPETENZA </t>
  </si>
  <si>
    <t>FONDO CREDITI DUBBIA ESIGIBILITA' STANZIATO NEL BILANCIO DI PREVISIONE RELATIVO ALL'ULTIMA ANNUALITA' CONSIDERATA</t>
  </si>
  <si>
    <t>MEDIA DEGLI ULTIMI TRE RENDICONTI APPROVATI -  ENTRATE CORRENTI: ACCERTAMENTI DI COMPETENZA AL NETTO DEL FONDO CREDITI DUBBIA ESIGIBILITA' STANZIATO NEL BILANCIO DI PREVISIONE RELATIVO ALL'ULTIMA ANNUALITA' CONSIDERATA</t>
  </si>
  <si>
    <t>RAPPORTO SPESA DEL PERSONALE / MEDIA ENTRATE CORRENTI</t>
  </si>
  <si>
    <t>INSERIRE N. ABITANTI COMUNE al 31.12.2018</t>
  </si>
  <si>
    <t>COMUNE AL DI SOTTO DELLA SOGLIA</t>
  </si>
  <si>
    <t>SI</t>
  </si>
  <si>
    <t>INCREMENTO DELLA SPESA DEL PERSONALE REGISTRATA NEL 2018, IN MISURA % NON SUPERIORE AI VALORI INDICATI NELLA TABELLA 2</t>
  </si>
  <si>
    <t>INSERIRE SPESA DEL PERSONALE RILEVATA DAL RENDICONTO RELATIVO 2018 APPROVATO</t>
  </si>
  <si>
    <t>INSERIRE % DI INCREMENTO DELLA SPESA DEL PERSONALE</t>
  </si>
  <si>
    <t>SOMMA DI INCREMENTO DELLA SPESA DI PERSONALE PER NUOVE ASSUNZIONI A TEMPO INDETERMINATO   (AL DI FUORI DELLA MEDIA DI SPESA 2011-2013)</t>
  </si>
  <si>
    <t>MANSIONI SUPERIORI CATEGORIA D1 DAL 1/09/2020 AD UNA CATEGORIA C</t>
  </si>
  <si>
    <t>AMMINISTRATIVO CAT C1 AI SERVIZI SOCIALI</t>
  </si>
  <si>
    <t>1 VIGILE CAT C1 NUOVO</t>
  </si>
  <si>
    <t xml:space="preserve">1 D AMMINISTRATIVO A FINE ANNO 2020 </t>
  </si>
  <si>
    <t>TOT NUOVE ASSUNZIONI 2020</t>
  </si>
  <si>
    <t>SOMME UTILIZZATE PER NUOVE ASSUNZIONI PREVISTE DAL 2020 CALCOLO SUL COSTO ANNUALE</t>
  </si>
  <si>
    <t>SOMMMA EVENTUALMENTE UTILIZZABILE PER NUOVE ASSUNZIONI 2020</t>
  </si>
  <si>
    <t>Somme per nuove assunzioni 2020 prevista in base al nuovo DL assunzioni gennaio 2020</t>
  </si>
  <si>
    <t>AMMINISTRATIVO CAT C1 AI SERVIZI SOCIALI (EX MOBILITA')</t>
  </si>
  <si>
    <t>Margine di spesa ancora sostenibile nel 2020 conteggiati n. 2 DLGS 267/2000 110</t>
  </si>
  <si>
    <t>IPOTESI DEL C FRASSATI PENSARE AD 1 TECNICO AL POSTO DI 1 AMMINISTRATIVO?</t>
  </si>
  <si>
    <t>AGGIUNGERE 1 D CON RISERVA DEL 50% DEI POSTI CHE ANDRA' AI CONTRATTI UFFICIO TRASVERSALE</t>
  </si>
  <si>
    <t>AGGIUNGERE 1 C CON RISERVA 20% ALL'INTERNO PV</t>
  </si>
  <si>
    <t>Facoltà assunzionale residua al 31.12.2019</t>
  </si>
  <si>
    <t>AL NETTO DI 1) La spese della formazione ammonta ad € 3.834,80 ed è allocata al Macro 103
2) La spesa per missioni 2018 ammonta ad € 104,80 ed è allocata al Macro 101
3) Gli straordinari per elezioni ammontano nel 2018 ad €18.990,39 allocati al Macro 103
4)I diritti di rogito ammontano ad € 5.017,47 allocati al Macro 101</t>
  </si>
  <si>
    <t>METODO B per il CALCOLO DELLA SPESA DI PERSONALE</t>
  </si>
  <si>
    <t>TECNICO CAT C1 AL POSTO DI FRASSATI DAL 1.4.2020</t>
  </si>
  <si>
    <t>NUOVI ASSUNTI 2020 DOPO DL NUOVE ASSUNZIONI</t>
  </si>
  <si>
    <t>NUOVI ASSUNTI 2021 DOPO DL NUOVE ASSUNZIONI</t>
  </si>
  <si>
    <t>1 C AMMINISTRATIVO progressione verticale CON RISERVA DEL 20% A INTERNI CAT. B3</t>
  </si>
  <si>
    <t>1 D AMMINISTRATIVO CON RISERVA DEL 50% A INTERNI CAT. C</t>
  </si>
  <si>
    <t>TOT NUOVE ASSUNZIONI 2021</t>
  </si>
  <si>
    <t>AGGIUNTO SUL 2021 UN PROFILO CAPIRE SE SPOSTARE ALTRO SUL 2021 anziché QUESTO PROFILO</t>
  </si>
  <si>
    <t>AGGIUNTO DA FARE ENTRO IL 31.12.2020</t>
  </si>
  <si>
    <t xml:space="preserve">1 D AMMINISTRATIVO DA OTTOBRE 2020 </t>
  </si>
  <si>
    <t>VIGILE CONCORSO - SOSTITUZIONE VALENTE DAL 1.2.2020</t>
  </si>
  <si>
    <t>VIGILE CONCORSO - ASSUNZIONE DAL 01/02/2020</t>
  </si>
  <si>
    <t xml:space="preserve">CONCORSO CAT. C AMMINISTRATIVO dal 1.7.2020 </t>
  </si>
  <si>
    <t>ISTRUTTORE TECNICO AL POSTO DI FRASSATI DAL 1.7.2020</t>
  </si>
  <si>
    <t>AGIUNTO 1 C dal 01/07/2020</t>
  </si>
  <si>
    <t>ART.90 55% per 12 mesi</t>
  </si>
  <si>
    <t>n. 2 unità art. 110: una per 12 mesi 1 dal 01/04/2020</t>
  </si>
  <si>
    <t>tolto informatico</t>
  </si>
  <si>
    <t>AGGIUNTI 2 VIGILI dal 01/02/2020</t>
  </si>
  <si>
    <t>AGGIUNTO 1 C dal 01/07/2020</t>
  </si>
  <si>
    <t>Aggiunto 1 cat. C dal 01/07/2020 e Tolto 1 cat. C dal 01/04/2020</t>
  </si>
  <si>
    <t>Aggiunto n. 1 cat. D dal 01/10/2020</t>
  </si>
  <si>
    <t>ALLEGATO C) COSTO DEL PERSONALE IN SERVIZIO CON ASSUNZIONI PREVISTE PER L'ANNO 2020</t>
  </si>
  <si>
    <t>DIRITTI DI ROGITO</t>
  </si>
  <si>
    <t>CONCORSO - 1° vigile dal 01/02/2020</t>
  </si>
  <si>
    <t>2° VIGILE CONCORSO - ASSUNZIONE DAL 01/02/2020</t>
  </si>
  <si>
    <t>CONCORSO CAT. C AMMINISTRATIVO DAL 01/07/2020</t>
  </si>
  <si>
    <t>ANDOLINA Giuseppina (€ 67,14 carico di cui 38,73 bilancio)</t>
  </si>
  <si>
    <t xml:space="preserve">Massa Marina - dimessa il 01/07/2019 - mantenimento posto 4 mesi e assunzione possibile solo dal 01/11/2019 </t>
  </si>
  <si>
    <t>Frassati Franco FINO AL 31.3.2020</t>
  </si>
  <si>
    <t>ALLEGATO D) FACOLTA' ASSUNZIONALI</t>
  </si>
  <si>
    <t>EX AMMINISTRATIVO CAT C1 AL POSTO DI MASSA MARINA TRASFORMATO IN AGENTE PL DAL 15.4.2020 (A SEGUITO DELLA MOB INTERNA)</t>
  </si>
  <si>
    <t>TESSA Antonella - Istruttore Vigilanza mobilità uff personale da Maggio</t>
  </si>
  <si>
    <t>3^ vigile - ASSUNZIONE DAL 1.5.2020 A SEGUITO DELLA MOB INTERNA DI UNA COLLEGA PL</t>
  </si>
  <si>
    <t>NUOVO 110/267 da 1.6.2020</t>
  </si>
  <si>
    <t>NUOVO                                                               ART.110/267 in D.O.sPERS.LE F/R TECNICO LL.PP. IPOTESI SPESA PER 7 MESI NEL 2020 da 1.6.2020</t>
  </si>
</sst>
</file>

<file path=xl/styles.xml><?xml version="1.0" encoding="utf-8"?>
<styleSheet xmlns="http://schemas.openxmlformats.org/spreadsheetml/2006/main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€-410]\ #,##0.00;\-[$€-410]\ #,##0.00"/>
    <numFmt numFmtId="167" formatCode="&quot;€&quot;\ #,##0.00"/>
    <numFmt numFmtId="168" formatCode="#,##0.00\ &quot;€&quot;"/>
    <numFmt numFmtId="169" formatCode="_-[$€-2]\ * #,##0.00_-;\-[$€-2]\ * #,##0.00_-;_-[$€-2]\ * &quot;-&quot;??_-"/>
    <numFmt numFmtId="170" formatCode="#,##0_ ;\-#,##0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Geneva"/>
    </font>
    <font>
      <b/>
      <sz val="12"/>
      <name val="Geneva"/>
    </font>
    <font>
      <sz val="12"/>
      <name val="Geneva"/>
    </font>
    <font>
      <b/>
      <sz val="18"/>
      <name val="Geneva"/>
      <family val="2"/>
    </font>
    <font>
      <b/>
      <i/>
      <sz val="12"/>
      <name val="Geneva"/>
    </font>
    <font>
      <i/>
      <sz val="12"/>
      <name val="Geneva"/>
    </font>
    <font>
      <b/>
      <sz val="10"/>
      <color indexed="10"/>
      <name val="Geneva"/>
      <family val="2"/>
    </font>
    <font>
      <b/>
      <sz val="12"/>
      <color indexed="10"/>
      <name val="Geneva"/>
      <family val="2"/>
    </font>
    <font>
      <sz val="11"/>
      <name val="Geneva"/>
    </font>
    <font>
      <b/>
      <sz val="10"/>
      <color indexed="10"/>
      <name val="Geneva"/>
    </font>
    <font>
      <sz val="12"/>
      <color indexed="10"/>
      <name val="Geneva"/>
    </font>
    <font>
      <sz val="10"/>
      <name val="Arial"/>
      <family val="2"/>
    </font>
    <font>
      <b/>
      <sz val="12"/>
      <name val="Comic Sans MS"/>
      <family val="4"/>
    </font>
    <font>
      <b/>
      <sz val="10"/>
      <name val="Arial"/>
      <family val="2"/>
    </font>
    <font>
      <b/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FF0000"/>
      <name val="Geneva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Geneva"/>
    </font>
    <font>
      <sz val="8"/>
      <color theme="1"/>
      <name val="Agency FB"/>
      <family val="2"/>
    </font>
    <font>
      <sz val="6"/>
      <color theme="1"/>
      <name val="Bodoni MT Poster Compressed"/>
      <family val="1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rgb="FFFF0000"/>
      <name val="Bodoni MT Poster Compressed"/>
      <family val="1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 style="thin">
        <color indexed="28"/>
      </left>
      <right style="medium">
        <color indexed="64"/>
      </right>
      <top/>
      <bottom style="thin">
        <color indexed="28"/>
      </bottom>
      <diagonal/>
    </border>
    <border>
      <left style="thin">
        <color indexed="64"/>
      </left>
      <right style="thin">
        <color indexed="28"/>
      </right>
      <top style="thin">
        <color indexed="28"/>
      </top>
      <bottom/>
      <diagonal/>
    </border>
    <border>
      <left/>
      <right style="thin">
        <color indexed="28"/>
      </right>
      <top/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 style="medium">
        <color indexed="64"/>
      </right>
      <top/>
      <bottom style="thin">
        <color indexed="28"/>
      </bottom>
      <diagonal/>
    </border>
    <border>
      <left style="medium">
        <color indexed="64"/>
      </left>
      <right style="thin">
        <color indexed="28"/>
      </right>
      <top/>
      <bottom/>
      <diagonal/>
    </border>
    <border>
      <left style="thin">
        <color indexed="28"/>
      </left>
      <right style="thin">
        <color indexed="28"/>
      </right>
      <top/>
      <bottom/>
      <diagonal/>
    </border>
    <border>
      <left style="thin">
        <color indexed="64"/>
      </left>
      <right style="thin">
        <color indexed="28"/>
      </right>
      <top style="thin">
        <color indexed="64"/>
      </top>
      <bottom style="thin">
        <color indexed="28"/>
      </bottom>
      <diagonal/>
    </border>
    <border>
      <left style="medium">
        <color indexed="6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" fontId="8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169" fontId="19" fillId="0" borderId="0" applyFont="0" applyFill="0" applyBorder="0" applyAlignment="0" applyProtection="0"/>
    <xf numFmtId="0" fontId="33" fillId="0" borderId="0"/>
  </cellStyleXfs>
  <cellXfs count="108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6" fillId="0" borderId="0" xfId="0" applyFont="1"/>
    <xf numFmtId="43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wrapText="1"/>
    </xf>
    <xf numFmtId="43" fontId="0" fillId="0" borderId="0" xfId="1" applyFont="1"/>
    <xf numFmtId="49" fontId="6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textRotation="255" wrapText="1"/>
    </xf>
    <xf numFmtId="43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textRotation="255" wrapText="1"/>
    </xf>
    <xf numFmtId="44" fontId="6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3" fontId="6" fillId="0" borderId="0" xfId="0" applyNumberFormat="1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textRotation="255" wrapText="1"/>
    </xf>
    <xf numFmtId="9" fontId="6" fillId="0" borderId="0" xfId="0" applyNumberFormat="1" applyFont="1" applyBorder="1" applyAlignment="1">
      <alignment horizontal="center" vertical="center" wrapText="1"/>
    </xf>
    <xf numFmtId="44" fontId="6" fillId="0" borderId="0" xfId="1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 textRotation="255" wrapText="1"/>
    </xf>
    <xf numFmtId="9" fontId="7" fillId="0" borderId="0" xfId="0" applyNumberFormat="1" applyFont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44" fontId="5" fillId="0" borderId="9" xfId="0" applyNumberFormat="1" applyFont="1" applyBorder="1" applyAlignment="1">
      <alignment vertical="center"/>
    </xf>
    <xf numFmtId="43" fontId="6" fillId="0" borderId="0" xfId="0" applyNumberFormat="1" applyFont="1"/>
    <xf numFmtId="44" fontId="5" fillId="0" borderId="0" xfId="0" applyNumberFormat="1" applyFont="1" applyBorder="1" applyAlignment="1">
      <alignment vertical="center"/>
    </xf>
    <xf numFmtId="43" fontId="2" fillId="0" borderId="0" xfId="1" applyFont="1"/>
    <xf numFmtId="43" fontId="0" fillId="0" borderId="0" xfId="0" applyNumberFormat="1"/>
    <xf numFmtId="43" fontId="2" fillId="0" borderId="0" xfId="0" applyNumberFormat="1" applyFont="1"/>
    <xf numFmtId="0" fontId="0" fillId="0" borderId="12" xfId="0" applyBorder="1"/>
    <xf numFmtId="43" fontId="0" fillId="0" borderId="12" xfId="1" applyFont="1" applyBorder="1"/>
    <xf numFmtId="43" fontId="2" fillId="0" borderId="12" xfId="1" applyFont="1" applyBorder="1"/>
    <xf numFmtId="43" fontId="0" fillId="0" borderId="12" xfId="0" applyNumberFormat="1" applyBorder="1"/>
    <xf numFmtId="43" fontId="2" fillId="0" borderId="12" xfId="0" applyNumberFormat="1" applyFont="1" applyBorder="1"/>
    <xf numFmtId="43" fontId="3" fillId="0" borderId="0" xfId="0" applyNumberFormat="1" applyFont="1"/>
    <xf numFmtId="43" fontId="3" fillId="4" borderId="0" xfId="0" applyNumberFormat="1" applyFont="1" applyFill="1"/>
    <xf numFmtId="43" fontId="0" fillId="5" borderId="0" xfId="1" applyFont="1" applyFill="1"/>
    <xf numFmtId="43" fontId="0" fillId="5" borderId="12" xfId="1" applyFont="1" applyFill="1" applyBorder="1"/>
    <xf numFmtId="43" fontId="2" fillId="4" borderId="0" xfId="1" applyFont="1" applyFill="1"/>
    <xf numFmtId="43" fontId="3" fillId="4" borderId="0" xfId="1" applyFont="1" applyFill="1"/>
    <xf numFmtId="0" fontId="0" fillId="0" borderId="0" xfId="0" applyAlignment="1"/>
    <xf numFmtId="43" fontId="0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9" fillId="0" borderId="0" xfId="2" applyFont="1" applyBorder="1"/>
    <xf numFmtId="0" fontId="10" fillId="0" borderId="0" xfId="2" applyFont="1" applyBorder="1"/>
    <xf numFmtId="3" fontId="13" fillId="0" borderId="13" xfId="2" applyNumberFormat="1" applyFont="1" applyFill="1" applyBorder="1" applyAlignment="1">
      <alignment horizontal="center" vertical="center" wrapText="1"/>
    </xf>
    <xf numFmtId="3" fontId="12" fillId="0" borderId="14" xfId="2" applyNumberFormat="1" applyFont="1" applyBorder="1" applyAlignment="1">
      <alignment horizontal="centerContinuous" vertical="center" wrapText="1"/>
    </xf>
    <xf numFmtId="3" fontId="13" fillId="0" borderId="15" xfId="2" applyNumberFormat="1" applyFont="1" applyBorder="1" applyAlignment="1">
      <alignment horizontal="centerContinuous"/>
    </xf>
    <xf numFmtId="3" fontId="13" fillId="0" borderId="5" xfId="2" applyNumberFormat="1" applyFont="1" applyBorder="1" applyAlignment="1">
      <alignment horizontal="centerContinuous"/>
    </xf>
    <xf numFmtId="3" fontId="13" fillId="0" borderId="1" xfId="2" applyNumberFormat="1" applyFont="1" applyBorder="1" applyAlignment="1">
      <alignment horizontal="centerContinuous"/>
    </xf>
    <xf numFmtId="0" fontId="13" fillId="0" borderId="0" xfId="2" applyFont="1" applyBorder="1"/>
    <xf numFmtId="1" fontId="13" fillId="0" borderId="0" xfId="2" applyNumberFormat="1" applyFont="1" applyBorder="1"/>
    <xf numFmtId="0" fontId="13" fillId="0" borderId="0" xfId="2" applyNumberFormat="1" applyFont="1" applyBorder="1"/>
    <xf numFmtId="3" fontId="13" fillId="0" borderId="15" xfId="2" applyNumberFormat="1" applyFont="1" applyBorder="1"/>
    <xf numFmtId="3" fontId="13" fillId="0" borderId="0" xfId="2" applyNumberFormat="1" applyFont="1" applyBorder="1"/>
    <xf numFmtId="3" fontId="13" fillId="0" borderId="0" xfId="2" applyNumberFormat="1" applyFont="1" applyFill="1" applyBorder="1"/>
    <xf numFmtId="3" fontId="13" fillId="0" borderId="15" xfId="2" applyNumberFormat="1" applyFont="1" applyFill="1" applyBorder="1"/>
    <xf numFmtId="3" fontId="13" fillId="0" borderId="20" xfId="2" applyNumberFormat="1" applyFont="1" applyFill="1" applyBorder="1"/>
    <xf numFmtId="3" fontId="13" fillId="0" borderId="20" xfId="2" applyNumberFormat="1" applyFont="1" applyBorder="1"/>
    <xf numFmtId="0" fontId="10" fillId="0" borderId="1" xfId="2" applyFont="1" applyBorder="1"/>
    <xf numFmtId="12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2" applyNumberFormat="1" applyFont="1" applyBorder="1"/>
    <xf numFmtId="4" fontId="10" fillId="0" borderId="1" xfId="2" applyNumberFormat="1" applyFont="1" applyBorder="1" applyAlignment="1">
      <alignment horizontal="center"/>
    </xf>
    <xf numFmtId="4" fontId="10" fillId="0" borderId="7" xfId="2" applyNumberFormat="1" applyFont="1" applyBorder="1"/>
    <xf numFmtId="4" fontId="10" fillId="0" borderId="1" xfId="2" applyNumberFormat="1" applyFont="1" applyBorder="1"/>
    <xf numFmtId="4" fontId="10" fillId="0" borderId="1" xfId="2" applyNumberFormat="1" applyFont="1" applyFill="1" applyBorder="1"/>
    <xf numFmtId="4" fontId="10" fillId="0" borderId="6" xfId="2" applyNumberFormat="1" applyFont="1" applyFill="1" applyBorder="1"/>
    <xf numFmtId="4" fontId="10" fillId="0" borderId="6" xfId="2" applyNumberFormat="1" applyFont="1" applyBorder="1"/>
    <xf numFmtId="4" fontId="10" fillId="0" borderId="8" xfId="2" applyNumberFormat="1" applyFont="1" applyBorder="1"/>
    <xf numFmtId="1" fontId="10" fillId="0" borderId="1" xfId="2" applyNumberFormat="1" applyFont="1" applyBorder="1"/>
    <xf numFmtId="0" fontId="10" fillId="0" borderId="1" xfId="2" applyFont="1" applyFill="1" applyBorder="1" applyAlignment="1">
      <alignment horizontal="center"/>
    </xf>
    <xf numFmtId="4" fontId="10" fillId="0" borderId="8" xfId="2" applyNumberFormat="1" applyFont="1" applyFill="1" applyBorder="1"/>
    <xf numFmtId="0" fontId="10" fillId="5" borderId="1" xfId="2" applyFont="1" applyFill="1" applyBorder="1"/>
    <xf numFmtId="1" fontId="10" fillId="5" borderId="7" xfId="2" applyNumberFormat="1" applyFont="1" applyFill="1" applyBorder="1"/>
    <xf numFmtId="0" fontId="10" fillId="5" borderId="7" xfId="2" applyFont="1" applyFill="1" applyBorder="1" applyAlignment="1">
      <alignment horizontal="center"/>
    </xf>
    <xf numFmtId="0" fontId="10" fillId="5" borderId="7" xfId="2" applyNumberFormat="1" applyFont="1" applyFill="1" applyBorder="1"/>
    <xf numFmtId="4" fontId="10" fillId="5" borderId="1" xfId="2" applyNumberFormat="1" applyFont="1" applyFill="1" applyBorder="1"/>
    <xf numFmtId="4" fontId="14" fillId="5" borderId="1" xfId="2" applyNumberFormat="1" applyFont="1" applyFill="1" applyBorder="1" applyAlignment="1">
      <alignment wrapText="1"/>
    </xf>
    <xf numFmtId="4" fontId="10" fillId="5" borderId="8" xfId="2" applyNumberFormat="1" applyFont="1" applyFill="1" applyBorder="1"/>
    <xf numFmtId="0" fontId="10" fillId="5" borderId="0" xfId="2" applyFont="1" applyFill="1" applyBorder="1"/>
    <xf numFmtId="0" fontId="10" fillId="0" borderId="6" xfId="2" applyFont="1" applyBorder="1"/>
    <xf numFmtId="0" fontId="10" fillId="0" borderId="7" xfId="2" applyFont="1" applyFill="1" applyBorder="1"/>
    <xf numFmtId="1" fontId="10" fillId="0" borderId="7" xfId="2" applyNumberFormat="1" applyFont="1" applyFill="1" applyBorder="1"/>
    <xf numFmtId="0" fontId="10" fillId="0" borderId="7" xfId="2" applyFont="1" applyFill="1" applyBorder="1" applyAlignment="1">
      <alignment horizontal="center"/>
    </xf>
    <xf numFmtId="0" fontId="10" fillId="0" borderId="7" xfId="2" applyNumberFormat="1" applyFont="1" applyFill="1" applyBorder="1"/>
    <xf numFmtId="4" fontId="10" fillId="0" borderId="7" xfId="2" applyNumberFormat="1" applyFont="1" applyFill="1" applyBorder="1" applyAlignment="1">
      <alignment horizontal="center"/>
    </xf>
    <xf numFmtId="4" fontId="10" fillId="0" borderId="7" xfId="2" applyNumberFormat="1" applyFont="1" applyFill="1" applyBorder="1"/>
    <xf numFmtId="4" fontId="14" fillId="0" borderId="8" xfId="2" applyNumberFormat="1" applyFont="1" applyFill="1" applyBorder="1" applyAlignment="1">
      <alignment wrapText="1"/>
    </xf>
    <xf numFmtId="0" fontId="10" fillId="2" borderId="6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wrapText="1"/>
    </xf>
    <xf numFmtId="12" fontId="10" fillId="2" borderId="7" xfId="2" applyNumberFormat="1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7" xfId="2" applyNumberFormat="1" applyFont="1" applyFill="1" applyBorder="1"/>
    <xf numFmtId="4" fontId="10" fillId="2" borderId="7" xfId="2" applyNumberFormat="1" applyFont="1" applyFill="1" applyBorder="1" applyAlignment="1">
      <alignment horizontal="center"/>
    </xf>
    <xf numFmtId="4" fontId="10" fillId="2" borderId="7" xfId="2" applyNumberFormat="1" applyFont="1" applyFill="1" applyBorder="1"/>
    <xf numFmtId="4" fontId="10" fillId="2" borderId="8" xfId="2" applyNumberFormat="1" applyFont="1" applyFill="1" applyBorder="1"/>
    <xf numFmtId="0" fontId="10" fillId="2" borderId="0" xfId="2" applyFont="1" applyFill="1" applyBorder="1"/>
    <xf numFmtId="0" fontId="10" fillId="0" borderId="2" xfId="2" applyFont="1" applyBorder="1"/>
    <xf numFmtId="0" fontId="10" fillId="0" borderId="21" xfId="2" applyFont="1" applyBorder="1" applyAlignment="1">
      <alignment vertical="center" wrapText="1"/>
    </xf>
    <xf numFmtId="1" fontId="10" fillId="0" borderId="12" xfId="2" applyNumberFormat="1" applyFont="1" applyBorder="1"/>
    <xf numFmtId="0" fontId="10" fillId="0" borderId="22" xfId="2" applyFont="1" applyBorder="1" applyAlignment="1">
      <alignment horizontal="center"/>
    </xf>
    <xf numFmtId="0" fontId="10" fillId="0" borderId="21" xfId="2" applyNumberFormat="1" applyFont="1" applyBorder="1"/>
    <xf numFmtId="0" fontId="10" fillId="0" borderId="21" xfId="2" applyFont="1" applyFill="1" applyBorder="1" applyAlignment="1">
      <alignment horizontal="center" vertical="center"/>
    </xf>
    <xf numFmtId="4" fontId="10" fillId="0" borderId="2" xfId="2" applyNumberFormat="1" applyFont="1" applyBorder="1" applyAlignment="1">
      <alignment horizontal="center" vertical="center"/>
    </xf>
    <xf numFmtId="4" fontId="10" fillId="0" borderId="2" xfId="2" applyNumberFormat="1" applyFont="1" applyBorder="1" applyAlignment="1">
      <alignment vertical="center"/>
    </xf>
    <xf numFmtId="4" fontId="10" fillId="0" borderId="21" xfId="2" applyNumberFormat="1" applyFont="1" applyBorder="1" applyAlignment="1">
      <alignment vertical="center"/>
    </xf>
    <xf numFmtId="4" fontId="10" fillId="0" borderId="2" xfId="2" applyNumberFormat="1" applyFont="1" applyFill="1" applyBorder="1" applyAlignment="1">
      <alignment vertical="center"/>
    </xf>
    <xf numFmtId="4" fontId="10" fillId="0" borderId="21" xfId="2" applyNumberFormat="1" applyFont="1" applyFill="1" applyBorder="1" applyAlignment="1">
      <alignment vertical="center"/>
    </xf>
    <xf numFmtId="4" fontId="10" fillId="0" borderId="21" xfId="2" applyNumberFormat="1" applyFont="1" applyBorder="1"/>
    <xf numFmtId="1" fontId="10" fillId="0" borderId="0" xfId="2" applyNumberFormat="1" applyFont="1" applyBorder="1"/>
    <xf numFmtId="0" fontId="10" fillId="0" borderId="0" xfId="2" applyNumberFormat="1" applyFont="1" applyBorder="1"/>
    <xf numFmtId="4" fontId="9" fillId="0" borderId="23" xfId="2" applyNumberFormat="1" applyFont="1" applyBorder="1"/>
    <xf numFmtId="4" fontId="9" fillId="0" borderId="23" xfId="2" applyNumberFormat="1" applyFont="1" applyFill="1" applyBorder="1"/>
    <xf numFmtId="4" fontId="9" fillId="0" borderId="7" xfId="2" applyNumberFormat="1" applyFont="1" applyFill="1" applyBorder="1"/>
    <xf numFmtId="4" fontId="9" fillId="0" borderId="7" xfId="2" applyNumberFormat="1" applyFont="1" applyBorder="1"/>
    <xf numFmtId="4" fontId="9" fillId="0" borderId="21" xfId="2" applyNumberFormat="1" applyFont="1" applyBorder="1"/>
    <xf numFmtId="4" fontId="9" fillId="0" borderId="24" xfId="2" applyNumberFormat="1" applyFont="1" applyBorder="1"/>
    <xf numFmtId="3" fontId="9" fillId="0" borderId="0" xfId="2" applyNumberFormat="1" applyFont="1"/>
    <xf numFmtId="3" fontId="9" fillId="0" borderId="0" xfId="2" applyNumberFormat="1" applyFont="1" applyFill="1"/>
    <xf numFmtId="3" fontId="9" fillId="0" borderId="0" xfId="2" applyNumberFormat="1" applyFont="1" applyFill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3" fontId="10" fillId="0" borderId="25" xfId="2" applyNumberFormat="1" applyFont="1" applyBorder="1"/>
    <xf numFmtId="4" fontId="9" fillId="0" borderId="2" xfId="2" applyNumberFormat="1" applyFont="1" applyBorder="1"/>
    <xf numFmtId="4" fontId="9" fillId="0" borderId="0" xfId="2" applyNumberFormat="1" applyFont="1" applyBorder="1"/>
    <xf numFmtId="4" fontId="10" fillId="0" borderId="0" xfId="2" applyNumberFormat="1" applyFont="1" applyBorder="1"/>
    <xf numFmtId="4" fontId="9" fillId="0" borderId="0" xfId="3" applyFont="1"/>
    <xf numFmtId="0" fontId="10" fillId="8" borderId="2" xfId="2" applyFont="1" applyFill="1" applyBorder="1" applyAlignment="1">
      <alignment wrapText="1"/>
    </xf>
    <xf numFmtId="1" fontId="10" fillId="8" borderId="2" xfId="2" applyNumberFormat="1" applyFont="1" applyFill="1" applyBorder="1" applyAlignment="1">
      <alignment horizontal="center"/>
    </xf>
    <xf numFmtId="0" fontId="10" fillId="8" borderId="2" xfId="2" applyFont="1" applyFill="1" applyBorder="1" applyAlignment="1">
      <alignment horizontal="center"/>
    </xf>
    <xf numFmtId="0" fontId="10" fillId="8" borderId="2" xfId="2" applyNumberFormat="1" applyFont="1" applyFill="1" applyBorder="1"/>
    <xf numFmtId="4" fontId="10" fillId="0" borderId="2" xfId="2" applyNumberFormat="1" applyFont="1" applyBorder="1" applyAlignment="1">
      <alignment horizontal="center"/>
    </xf>
    <xf numFmtId="4" fontId="10" fillId="0" borderId="2" xfId="2" applyNumberFormat="1" applyFont="1" applyBorder="1"/>
    <xf numFmtId="4" fontId="10" fillId="0" borderId="2" xfId="2" applyNumberFormat="1" applyFont="1" applyFill="1" applyBorder="1"/>
    <xf numFmtId="3" fontId="10" fillId="0" borderId="2" xfId="2" applyNumberFormat="1" applyFont="1" applyBorder="1"/>
    <xf numFmtId="3" fontId="9" fillId="0" borderId="2" xfId="2" applyNumberFormat="1" applyFont="1" applyBorder="1"/>
    <xf numFmtId="0" fontId="9" fillId="0" borderId="2" xfId="2" applyFont="1" applyBorder="1"/>
    <xf numFmtId="4" fontId="9" fillId="0" borderId="19" xfId="2" applyNumberFormat="1" applyFont="1" applyBorder="1"/>
    <xf numFmtId="3" fontId="10" fillId="0" borderId="0" xfId="2" applyNumberFormat="1" applyFont="1" applyFill="1" applyBorder="1"/>
    <xf numFmtId="3" fontId="10" fillId="0" borderId="0" xfId="2" applyNumberFormat="1" applyFont="1" applyFill="1"/>
    <xf numFmtId="3" fontId="10" fillId="0" borderId="0" xfId="2" applyNumberFormat="1" applyFont="1"/>
    <xf numFmtId="4" fontId="10" fillId="5" borderId="2" xfId="2" applyNumberFormat="1" applyFont="1" applyFill="1" applyBorder="1"/>
    <xf numFmtId="0" fontId="10" fillId="0" borderId="2" xfId="2" applyFont="1" applyFill="1" applyBorder="1"/>
    <xf numFmtId="1" fontId="10" fillId="0" borderId="2" xfId="2" applyNumberFormat="1" applyFont="1" applyFill="1" applyBorder="1"/>
    <xf numFmtId="0" fontId="10" fillId="0" borderId="2" xfId="2" applyFont="1" applyFill="1" applyBorder="1" applyAlignment="1">
      <alignment horizontal="center"/>
    </xf>
    <xf numFmtId="0" fontId="10" fillId="0" borderId="2" xfId="2" applyNumberFormat="1" applyFont="1" applyFill="1" applyBorder="1"/>
    <xf numFmtId="4" fontId="10" fillId="0" borderId="2" xfId="2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vertical="center"/>
    </xf>
    <xf numFmtId="4" fontId="10" fillId="2" borderId="1" xfId="2" applyNumberFormat="1" applyFont="1" applyFill="1" applyBorder="1" applyAlignment="1">
      <alignment vertical="center"/>
    </xf>
    <xf numFmtId="4" fontId="9" fillId="0" borderId="0" xfId="2" applyNumberFormat="1" applyFont="1" applyFill="1" applyBorder="1"/>
    <xf numFmtId="0" fontId="10" fillId="0" borderId="0" xfId="2" applyFont="1"/>
    <xf numFmtId="1" fontId="10" fillId="0" borderId="0" xfId="2" applyNumberFormat="1" applyFont="1"/>
    <xf numFmtId="0" fontId="10" fillId="0" borderId="0" xfId="2" applyNumberFormat="1" applyFont="1"/>
    <xf numFmtId="3" fontId="10" fillId="0" borderId="4" xfId="2" applyNumberFormat="1" applyFont="1" applyBorder="1"/>
    <xf numFmtId="0" fontId="10" fillId="0" borderId="1" xfId="2" applyFont="1" applyFill="1" applyBorder="1"/>
    <xf numFmtId="1" fontId="10" fillId="0" borderId="1" xfId="2" applyNumberFormat="1" applyFont="1" applyFill="1" applyBorder="1" applyAlignment="1">
      <alignment horizontal="center"/>
    </xf>
    <xf numFmtId="0" fontId="10" fillId="0" borderId="1" xfId="2" applyNumberFormat="1" applyFont="1" applyFill="1" applyBorder="1"/>
    <xf numFmtId="4" fontId="10" fillId="0" borderId="1" xfId="2" applyNumberFormat="1" applyFont="1" applyFill="1" applyBorder="1" applyAlignment="1">
      <alignment horizontal="center"/>
    </xf>
    <xf numFmtId="3" fontId="10" fillId="0" borderId="1" xfId="2" applyNumberFormat="1" applyFont="1" applyFill="1" applyBorder="1"/>
    <xf numFmtId="3" fontId="10" fillId="0" borderId="8" xfId="2" applyNumberFormat="1" applyFont="1" applyFill="1" applyBorder="1"/>
    <xf numFmtId="3" fontId="10" fillId="0" borderId="8" xfId="2" applyNumberFormat="1" applyFont="1" applyBorder="1"/>
    <xf numFmtId="0" fontId="10" fillId="2" borderId="6" xfId="2" applyFont="1" applyFill="1" applyBorder="1"/>
    <xf numFmtId="0" fontId="10" fillId="2" borderId="6" xfId="2" applyFont="1" applyFill="1" applyBorder="1" applyAlignment="1">
      <alignment horizontal="center"/>
    </xf>
    <xf numFmtId="0" fontId="10" fillId="2" borderId="6" xfId="2" applyNumberFormat="1" applyFont="1" applyFill="1" applyBorder="1"/>
    <xf numFmtId="4" fontId="10" fillId="2" borderId="6" xfId="2" applyNumberFormat="1" applyFont="1" applyFill="1" applyBorder="1" applyAlignment="1">
      <alignment horizontal="center"/>
    </xf>
    <xf numFmtId="4" fontId="10" fillId="2" borderId="6" xfId="2" applyNumberFormat="1" applyFont="1" applyFill="1" applyBorder="1"/>
    <xf numFmtId="3" fontId="10" fillId="2" borderId="8" xfId="2" applyNumberFormat="1" applyFont="1" applyFill="1" applyBorder="1"/>
    <xf numFmtId="3" fontId="10" fillId="2" borderId="25" xfId="2" applyNumberFormat="1" applyFont="1" applyFill="1" applyBorder="1"/>
    <xf numFmtId="4" fontId="10" fillId="2" borderId="25" xfId="2" applyNumberFormat="1" applyFont="1" applyFill="1" applyBorder="1"/>
    <xf numFmtId="3" fontId="10" fillId="5" borderId="1" xfId="2" applyNumberFormat="1" applyFont="1" applyFill="1" applyBorder="1"/>
    <xf numFmtId="1" fontId="10" fillId="2" borderId="7" xfId="2" applyNumberFormat="1" applyFont="1" applyFill="1" applyBorder="1"/>
    <xf numFmtId="3" fontId="10" fillId="2" borderId="7" xfId="2" applyNumberFormat="1" applyFont="1" applyFill="1" applyBorder="1"/>
    <xf numFmtId="1" fontId="10" fillId="0" borderId="2" xfId="2" applyNumberFormat="1" applyFont="1" applyBorder="1"/>
    <xf numFmtId="0" fontId="10" fillId="0" borderId="2" xfId="2" applyNumberFormat="1" applyFont="1" applyBorder="1"/>
    <xf numFmtId="4" fontId="10" fillId="0" borderId="21" xfId="2" applyNumberFormat="1" applyFont="1" applyFill="1" applyBorder="1"/>
    <xf numFmtId="3" fontId="10" fillId="0" borderId="21" xfId="2" applyNumberFormat="1" applyFont="1" applyBorder="1"/>
    <xf numFmtId="3" fontId="10" fillId="0" borderId="24" xfId="2" applyNumberFormat="1" applyFont="1" applyBorder="1"/>
    <xf numFmtId="3" fontId="9" fillId="0" borderId="25" xfId="2" applyNumberFormat="1" applyFont="1" applyBorder="1"/>
    <xf numFmtId="12" fontId="10" fillId="0" borderId="2" xfId="2" applyNumberFormat="1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3" fontId="9" fillId="0" borderId="27" xfId="2" applyNumberFormat="1" applyFont="1" applyBorder="1"/>
    <xf numFmtId="4" fontId="10" fillId="0" borderId="0" xfId="2" applyNumberFormat="1" applyFont="1" applyBorder="1" applyAlignment="1">
      <alignment horizontal="center"/>
    </xf>
    <xf numFmtId="4" fontId="10" fillId="0" borderId="0" xfId="2" applyNumberFormat="1" applyFont="1" applyFill="1" applyBorder="1"/>
    <xf numFmtId="1" fontId="10" fillId="0" borderId="1" xfId="2" applyNumberFormat="1" applyFont="1" applyBorder="1" applyAlignment="1">
      <alignment horizontal="center"/>
    </xf>
    <xf numFmtId="3" fontId="10" fillId="0" borderId="6" xfId="2" applyNumberFormat="1" applyFont="1" applyFill="1" applyBorder="1"/>
    <xf numFmtId="0" fontId="10" fillId="0" borderId="0" xfId="2" applyFont="1" applyFill="1" applyBorder="1"/>
    <xf numFmtId="3" fontId="10" fillId="0" borderId="25" xfId="2" applyNumberFormat="1" applyFont="1" applyFill="1" applyBorder="1"/>
    <xf numFmtId="1" fontId="10" fillId="0" borderId="1" xfId="2" applyNumberFormat="1" applyFont="1" applyFill="1" applyBorder="1"/>
    <xf numFmtId="0" fontId="10" fillId="2" borderId="2" xfId="2" applyFont="1" applyFill="1" applyBorder="1"/>
    <xf numFmtId="1" fontId="10" fillId="2" borderId="2" xfId="2" applyNumberFormat="1" applyFont="1" applyFill="1" applyBorder="1"/>
    <xf numFmtId="0" fontId="10" fillId="2" borderId="2" xfId="2" applyFont="1" applyFill="1" applyBorder="1" applyAlignment="1">
      <alignment horizontal="center"/>
    </xf>
    <xf numFmtId="0" fontId="10" fillId="2" borderId="2" xfId="2" applyNumberFormat="1" applyFont="1" applyFill="1" applyBorder="1"/>
    <xf numFmtId="4" fontId="10" fillId="2" borderId="2" xfId="2" applyNumberFormat="1" applyFont="1" applyFill="1" applyBorder="1" applyAlignment="1">
      <alignment horizontal="center"/>
    </xf>
    <xf numFmtId="4" fontId="10" fillId="2" borderId="2" xfId="2" applyNumberFormat="1" applyFont="1" applyFill="1" applyBorder="1"/>
    <xf numFmtId="3" fontId="10" fillId="2" borderId="2" xfId="2" applyNumberFormat="1" applyFont="1" applyFill="1" applyBorder="1"/>
    <xf numFmtId="4" fontId="10" fillId="2" borderId="1" xfId="2" applyNumberFormat="1" applyFont="1" applyFill="1" applyBorder="1"/>
    <xf numFmtId="4" fontId="10" fillId="2" borderId="21" xfId="2" applyNumberFormat="1" applyFont="1" applyFill="1" applyBorder="1"/>
    <xf numFmtId="3" fontId="10" fillId="2" borderId="21" xfId="2" applyNumberFormat="1" applyFont="1" applyFill="1" applyBorder="1"/>
    <xf numFmtId="3" fontId="10" fillId="2" borderId="22" xfId="2" applyNumberFormat="1" applyFont="1" applyFill="1" applyBorder="1"/>
    <xf numFmtId="1" fontId="10" fillId="0" borderId="0" xfId="2" applyNumberFormat="1" applyFont="1" applyFill="1" applyBorder="1"/>
    <xf numFmtId="0" fontId="10" fillId="0" borderId="0" xfId="2" applyNumberFormat="1" applyFont="1" applyFill="1" applyBorder="1"/>
    <xf numFmtId="4" fontId="9" fillId="0" borderId="24" xfId="2" applyNumberFormat="1" applyFont="1" applyFill="1" applyBorder="1"/>
    <xf numFmtId="4" fontId="9" fillId="0" borderId="28" xfId="2" applyNumberFormat="1" applyFont="1" applyFill="1" applyBorder="1"/>
    <xf numFmtId="0" fontId="10" fillId="0" borderId="4" xfId="2" applyFont="1" applyFill="1" applyBorder="1"/>
    <xf numFmtId="1" fontId="10" fillId="0" borderId="4" xfId="2" applyNumberFormat="1" applyFont="1" applyFill="1" applyBorder="1"/>
    <xf numFmtId="0" fontId="10" fillId="0" borderId="4" xfId="2" applyNumberFormat="1" applyFont="1" applyFill="1" applyBorder="1"/>
    <xf numFmtId="4" fontId="9" fillId="0" borderId="4" xfId="2" applyNumberFormat="1" applyFont="1" applyFill="1" applyBorder="1"/>
    <xf numFmtId="0" fontId="10" fillId="2" borderId="21" xfId="2" applyFont="1" applyFill="1" applyBorder="1" applyAlignment="1">
      <alignment wrapText="1"/>
    </xf>
    <xf numFmtId="1" fontId="10" fillId="2" borderId="21" xfId="2" applyNumberFormat="1" applyFont="1" applyFill="1" applyBorder="1"/>
    <xf numFmtId="0" fontId="10" fillId="2" borderId="21" xfId="2" applyFont="1" applyFill="1" applyBorder="1" applyAlignment="1">
      <alignment horizontal="center"/>
    </xf>
    <xf numFmtId="0" fontId="10" fillId="2" borderId="21" xfId="2" applyNumberFormat="1" applyFont="1" applyFill="1" applyBorder="1"/>
    <xf numFmtId="4" fontId="10" fillId="2" borderId="21" xfId="2" applyNumberFormat="1" applyFont="1" applyFill="1" applyBorder="1" applyAlignment="1">
      <alignment horizontal="center"/>
    </xf>
    <xf numFmtId="3" fontId="9" fillId="2" borderId="2" xfId="2" applyNumberFormat="1" applyFont="1" applyFill="1" applyBorder="1"/>
    <xf numFmtId="4" fontId="9" fillId="2" borderId="2" xfId="2" applyNumberFormat="1" applyFont="1" applyFill="1" applyBorder="1"/>
    <xf numFmtId="0" fontId="9" fillId="2" borderId="2" xfId="2" applyFont="1" applyFill="1" applyBorder="1"/>
    <xf numFmtId="3" fontId="9" fillId="2" borderId="27" xfId="2" applyNumberFormat="1" applyFont="1" applyFill="1" applyBorder="1"/>
    <xf numFmtId="4" fontId="15" fillId="0" borderId="1" xfId="2" applyNumberFormat="1" applyFont="1" applyFill="1" applyBorder="1"/>
    <xf numFmtId="0" fontId="10" fillId="2" borderId="1" xfId="2" applyFont="1" applyFill="1" applyBorder="1"/>
    <xf numFmtId="0" fontId="10" fillId="2" borderId="1" xfId="2" applyFont="1" applyFill="1" applyBorder="1" applyAlignment="1">
      <alignment wrapText="1"/>
    </xf>
    <xf numFmtId="12" fontId="10" fillId="2" borderId="1" xfId="2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6" fillId="2" borderId="1" xfId="2" applyNumberFormat="1" applyFont="1" applyFill="1" applyBorder="1"/>
    <xf numFmtId="4" fontId="10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/>
    <xf numFmtId="3" fontId="9" fillId="2" borderId="8" xfId="2" applyNumberFormat="1" applyFont="1" applyFill="1" applyBorder="1"/>
    <xf numFmtId="0" fontId="10" fillId="2" borderId="1" xfId="2" applyFont="1" applyFill="1" applyBorder="1" applyAlignment="1">
      <alignment vertical="center" wrapText="1"/>
    </xf>
    <xf numFmtId="1" fontId="10" fillId="2" borderId="1" xfId="2" applyNumberFormat="1" applyFont="1" applyFill="1" applyBorder="1"/>
    <xf numFmtId="4" fontId="9" fillId="2" borderId="8" xfId="2" applyNumberFormat="1" applyFont="1" applyFill="1" applyBorder="1"/>
    <xf numFmtId="0" fontId="9" fillId="2" borderId="8" xfId="2" applyFont="1" applyFill="1" applyBorder="1"/>
    <xf numFmtId="4" fontId="10" fillId="2" borderId="8" xfId="3" applyFont="1" applyFill="1" applyBorder="1"/>
    <xf numFmtId="0" fontId="10" fillId="7" borderId="1" xfId="2" applyFont="1" applyFill="1" applyBorder="1"/>
    <xf numFmtId="4" fontId="14" fillId="0" borderId="1" xfId="2" applyNumberFormat="1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4" fontId="10" fillId="0" borderId="24" xfId="2" applyNumberFormat="1" applyFont="1" applyBorder="1"/>
    <xf numFmtId="0" fontId="10" fillId="2" borderId="2" xfId="2" applyFont="1" applyFill="1" applyBorder="1" applyAlignment="1">
      <alignment vertical="center" wrapText="1"/>
    </xf>
    <xf numFmtId="3" fontId="17" fillId="2" borderId="1" xfId="2" applyNumberFormat="1" applyFont="1" applyFill="1" applyBorder="1" applyAlignment="1">
      <alignment wrapText="1"/>
    </xf>
    <xf numFmtId="3" fontId="10" fillId="2" borderId="24" xfId="2" applyNumberFormat="1" applyFont="1" applyFill="1" applyBorder="1"/>
    <xf numFmtId="4" fontId="10" fillId="2" borderId="24" xfId="2" applyNumberFormat="1" applyFont="1" applyFill="1" applyBorder="1"/>
    <xf numFmtId="4" fontId="9" fillId="0" borderId="0" xfId="3" applyFont="1" applyBorder="1"/>
    <xf numFmtId="0" fontId="10" fillId="0" borderId="2" xfId="2" applyFont="1" applyFill="1" applyBorder="1" applyAlignment="1">
      <alignment vertical="center"/>
    </xf>
    <xf numFmtId="3" fontId="9" fillId="0" borderId="14" xfId="2" applyNumberFormat="1" applyFont="1" applyFill="1" applyBorder="1"/>
    <xf numFmtId="3" fontId="17" fillId="0" borderId="1" xfId="2" applyNumberFormat="1" applyFont="1" applyFill="1" applyBorder="1" applyAlignment="1">
      <alignment wrapText="1"/>
    </xf>
    <xf numFmtId="3" fontId="10" fillId="0" borderId="4" xfId="2" applyNumberFormat="1" applyFont="1" applyFill="1" applyBorder="1"/>
    <xf numFmtId="3" fontId="9" fillId="0" borderId="4" xfId="2" applyNumberFormat="1" applyFont="1" applyBorder="1"/>
    <xf numFmtId="0" fontId="9" fillId="0" borderId="4" xfId="2" applyFont="1" applyBorder="1"/>
    <xf numFmtId="1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/>
    <xf numFmtId="0" fontId="10" fillId="2" borderId="2" xfId="2" applyFont="1" applyFill="1" applyBorder="1" applyAlignment="1">
      <alignment wrapText="1"/>
    </xf>
    <xf numFmtId="4" fontId="15" fillId="2" borderId="1" xfId="2" applyNumberFormat="1" applyFont="1" applyFill="1" applyBorder="1"/>
    <xf numFmtId="4" fontId="9" fillId="0" borderId="18" xfId="2" applyNumberFormat="1" applyFont="1" applyBorder="1"/>
    <xf numFmtId="4" fontId="9" fillId="0" borderId="18" xfId="2" applyNumberFormat="1" applyFont="1" applyFill="1" applyBorder="1"/>
    <xf numFmtId="1" fontId="10" fillId="0" borderId="2" xfId="2" applyNumberFormat="1" applyFont="1" applyBorder="1" applyAlignment="1">
      <alignment horizontal="center"/>
    </xf>
    <xf numFmtId="4" fontId="10" fillId="0" borderId="13" xfId="2" applyNumberFormat="1" applyFont="1" applyFill="1" applyBorder="1"/>
    <xf numFmtId="3" fontId="10" fillId="0" borderId="13" xfId="2" applyNumberFormat="1" applyFont="1" applyBorder="1"/>
    <xf numFmtId="4" fontId="10" fillId="0" borderId="13" xfId="2" applyNumberFormat="1" applyFont="1" applyBorder="1"/>
    <xf numFmtId="3" fontId="10" fillId="0" borderId="6" xfId="2" applyNumberFormat="1" applyFont="1" applyBorder="1"/>
    <xf numFmtId="0" fontId="10" fillId="0" borderId="21" xfId="2" applyFont="1" applyBorder="1"/>
    <xf numFmtId="1" fontId="10" fillId="0" borderId="21" xfId="2" applyNumberFormat="1" applyFont="1" applyBorder="1"/>
    <xf numFmtId="0" fontId="10" fillId="0" borderId="21" xfId="2" applyFont="1" applyBorder="1" applyAlignment="1">
      <alignment horizontal="center"/>
    </xf>
    <xf numFmtId="4" fontId="10" fillId="0" borderId="22" xfId="2" applyNumberFormat="1" applyFont="1" applyFill="1" applyBorder="1"/>
    <xf numFmtId="3" fontId="10" fillId="0" borderId="22" xfId="2" applyNumberFormat="1" applyFont="1" applyBorder="1"/>
    <xf numFmtId="4" fontId="10" fillId="0" borderId="22" xfId="2" applyNumberFormat="1" applyFont="1" applyBorder="1"/>
    <xf numFmtId="0" fontId="10" fillId="7" borderId="1" xfId="2" applyFont="1" applyFill="1" applyBorder="1" applyAlignment="1">
      <alignment wrapText="1"/>
    </xf>
    <xf numFmtId="1" fontId="10" fillId="7" borderId="1" xfId="2" applyNumberFormat="1" applyFont="1" applyFill="1" applyBorder="1"/>
    <xf numFmtId="0" fontId="10" fillId="7" borderId="1" xfId="2" applyFont="1" applyFill="1" applyBorder="1" applyAlignment="1">
      <alignment horizontal="center"/>
    </xf>
    <xf numFmtId="0" fontId="10" fillId="7" borderId="1" xfId="2" applyNumberFormat="1" applyFont="1" applyFill="1" applyBorder="1"/>
    <xf numFmtId="4" fontId="10" fillId="7" borderId="1" xfId="2" applyNumberFormat="1" applyFont="1" applyFill="1" applyBorder="1" applyAlignment="1">
      <alignment horizontal="center"/>
    </xf>
    <xf numFmtId="4" fontId="10" fillId="7" borderId="1" xfId="2" applyNumberFormat="1" applyFont="1" applyFill="1" applyBorder="1"/>
    <xf numFmtId="3" fontId="10" fillId="7" borderId="1" xfId="2" applyNumberFormat="1" applyFont="1" applyFill="1" applyBorder="1"/>
    <xf numFmtId="3" fontId="10" fillId="0" borderId="16" xfId="2" applyNumberFormat="1" applyFont="1" applyBorder="1"/>
    <xf numFmtId="4" fontId="10" fillId="0" borderId="25" xfId="2" applyNumberFormat="1" applyFont="1" applyBorder="1"/>
    <xf numFmtId="4" fontId="14" fillId="2" borderId="1" xfId="2" applyNumberFormat="1" applyFont="1" applyFill="1" applyBorder="1" applyAlignment="1">
      <alignment wrapText="1"/>
    </xf>
    <xf numFmtId="3" fontId="10" fillId="2" borderId="1" xfId="2" applyNumberFormat="1" applyFont="1" applyFill="1" applyBorder="1"/>
    <xf numFmtId="4" fontId="10" fillId="9" borderId="1" xfId="2" applyNumberFormat="1" applyFont="1" applyFill="1" applyBorder="1"/>
    <xf numFmtId="4" fontId="10" fillId="9" borderId="8" xfId="2" applyNumberFormat="1" applyFont="1" applyFill="1" applyBorder="1"/>
    <xf numFmtId="4" fontId="10" fillId="0" borderId="25" xfId="2" applyNumberFormat="1" applyFont="1" applyFill="1" applyBorder="1"/>
    <xf numFmtId="1" fontId="10" fillId="0" borderId="7" xfId="2" applyNumberFormat="1" applyFont="1" applyBorder="1"/>
    <xf numFmtId="0" fontId="10" fillId="0" borderId="7" xfId="2" applyFont="1" applyBorder="1" applyAlignment="1">
      <alignment horizontal="center"/>
    </xf>
    <xf numFmtId="0" fontId="10" fillId="0" borderId="7" xfId="2" applyNumberFormat="1" applyFont="1" applyBorder="1"/>
    <xf numFmtId="0" fontId="10" fillId="9" borderId="7" xfId="2" applyFont="1" applyFill="1" applyBorder="1"/>
    <xf numFmtId="0" fontId="10" fillId="0" borderId="4" xfId="2" applyFont="1" applyBorder="1"/>
    <xf numFmtId="1" fontId="10" fillId="0" borderId="4" xfId="2" applyNumberFormat="1" applyFont="1" applyBorder="1"/>
    <xf numFmtId="0" fontId="10" fillId="0" borderId="4" xfId="2" applyNumberFormat="1" applyFont="1" applyBorder="1"/>
    <xf numFmtId="0" fontId="10" fillId="0" borderId="21" xfId="2" applyFont="1" applyFill="1" applyBorder="1"/>
    <xf numFmtId="4" fontId="10" fillId="0" borderId="2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10" fillId="2" borderId="8" xfId="2" applyNumberFormat="1" applyFont="1" applyFill="1" applyBorder="1" applyAlignment="1">
      <alignment vertical="center"/>
    </xf>
    <xf numFmtId="3" fontId="10" fillId="2" borderId="0" xfId="2" applyNumberFormat="1" applyFont="1" applyFill="1" applyBorder="1"/>
    <xf numFmtId="3" fontId="10" fillId="0" borderId="17" xfId="2" applyNumberFormat="1" applyFont="1" applyBorder="1"/>
    <xf numFmtId="0" fontId="10" fillId="5" borderId="7" xfId="2" applyFont="1" applyFill="1" applyBorder="1"/>
    <xf numFmtId="4" fontId="10" fillId="5" borderId="7" xfId="2" applyNumberFormat="1" applyFont="1" applyFill="1" applyBorder="1" applyAlignment="1">
      <alignment horizontal="center"/>
    </xf>
    <xf numFmtId="4" fontId="10" fillId="5" borderId="7" xfId="2" applyNumberFormat="1" applyFont="1" applyFill="1" applyBorder="1"/>
    <xf numFmtId="3" fontId="10" fillId="5" borderId="8" xfId="2" applyNumberFormat="1" applyFont="1" applyFill="1" applyBorder="1"/>
    <xf numFmtId="3" fontId="10" fillId="0" borderId="12" xfId="2" applyNumberFormat="1" applyFont="1" applyBorder="1"/>
    <xf numFmtId="4" fontId="9" fillId="0" borderId="4" xfId="2" applyNumberFormat="1" applyFont="1" applyBorder="1"/>
    <xf numFmtId="0" fontId="10" fillId="5" borderId="2" xfId="2" applyFont="1" applyFill="1" applyBorder="1"/>
    <xf numFmtId="0" fontId="10" fillId="5" borderId="2" xfId="2" applyFont="1" applyFill="1" applyBorder="1" applyAlignment="1">
      <alignment wrapText="1"/>
    </xf>
    <xf numFmtId="1" fontId="10" fillId="5" borderId="21" xfId="2" applyNumberFormat="1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/>
    </xf>
    <xf numFmtId="0" fontId="10" fillId="5" borderId="2" xfId="2" applyNumberFormat="1" applyFont="1" applyFill="1" applyBorder="1"/>
    <xf numFmtId="4" fontId="10" fillId="5" borderId="2" xfId="2" applyNumberFormat="1" applyFont="1" applyFill="1" applyBorder="1" applyAlignment="1">
      <alignment horizontal="center"/>
    </xf>
    <xf numFmtId="4" fontId="10" fillId="5" borderId="21" xfId="2" applyNumberFormat="1" applyFont="1" applyFill="1" applyBorder="1"/>
    <xf numFmtId="3" fontId="10" fillId="5" borderId="21" xfId="2" applyNumberFormat="1" applyFont="1" applyFill="1" applyBorder="1"/>
    <xf numFmtId="3" fontId="10" fillId="5" borderId="12" xfId="2" applyNumberFormat="1" applyFont="1" applyFill="1" applyBorder="1"/>
    <xf numFmtId="4" fontId="9" fillId="0" borderId="0" xfId="2" applyNumberFormat="1" applyFont="1"/>
    <xf numFmtId="12" fontId="10" fillId="0" borderId="1" xfId="2" applyNumberFormat="1" applyFont="1" applyFill="1" applyBorder="1" applyAlignment="1">
      <alignment horizontal="center"/>
    </xf>
    <xf numFmtId="4" fontId="10" fillId="0" borderId="7" xfId="2" applyNumberFormat="1" applyFont="1" applyBorder="1" applyAlignment="1">
      <alignment horizontal="center"/>
    </xf>
    <xf numFmtId="0" fontId="10" fillId="0" borderId="7" xfId="2" applyFont="1" applyBorder="1"/>
    <xf numFmtId="4" fontId="9" fillId="0" borderId="22" xfId="2" applyNumberFormat="1" applyFont="1" applyBorder="1"/>
    <xf numFmtId="4" fontId="9" fillId="0" borderId="29" xfId="2" applyNumberFormat="1" applyFont="1" applyBorder="1"/>
    <xf numFmtId="4" fontId="9" fillId="0" borderId="28" xfId="2" applyNumberFormat="1" applyFont="1" applyBorder="1"/>
    <xf numFmtId="3" fontId="9" fillId="0" borderId="6" xfId="2" applyNumberFormat="1" applyFont="1" applyBorder="1"/>
    <xf numFmtId="4" fontId="9" fillId="0" borderId="6" xfId="2" applyNumberFormat="1" applyFont="1" applyBorder="1"/>
    <xf numFmtId="0" fontId="9" fillId="0" borderId="6" xfId="2" applyFont="1" applyBorder="1"/>
    <xf numFmtId="4" fontId="10" fillId="0" borderId="6" xfId="3" applyFont="1" applyBorder="1"/>
    <xf numFmtId="3" fontId="9" fillId="0" borderId="8" xfId="2" applyNumberFormat="1" applyFont="1" applyBorder="1"/>
    <xf numFmtId="4" fontId="9" fillId="0" borderId="8" xfId="2" applyNumberFormat="1" applyFont="1" applyBorder="1"/>
    <xf numFmtId="0" fontId="9" fillId="0" borderId="8" xfId="2" applyFont="1" applyBorder="1"/>
    <xf numFmtId="4" fontId="10" fillId="0" borderId="8" xfId="3" applyFont="1" applyBorder="1"/>
    <xf numFmtId="4" fontId="9" fillId="0" borderId="8" xfId="2" applyNumberFormat="1" applyFont="1" applyFill="1" applyBorder="1"/>
    <xf numFmtId="1" fontId="10" fillId="0" borderId="21" xfId="2" applyNumberFormat="1" applyFont="1" applyFill="1" applyBorder="1"/>
    <xf numFmtId="0" fontId="10" fillId="0" borderId="21" xfId="2" applyFont="1" applyFill="1" applyBorder="1" applyAlignment="1">
      <alignment horizontal="center"/>
    </xf>
    <xf numFmtId="0" fontId="10" fillId="0" borderId="21" xfId="2" applyNumberFormat="1" applyFont="1" applyFill="1" applyBorder="1"/>
    <xf numFmtId="3" fontId="9" fillId="0" borderId="21" xfId="2" applyNumberFormat="1" applyFont="1" applyFill="1" applyBorder="1"/>
    <xf numFmtId="3" fontId="10" fillId="0" borderId="21" xfId="2" applyNumberFormat="1" applyFont="1" applyFill="1" applyBorder="1"/>
    <xf numFmtId="4" fontId="9" fillId="0" borderId="21" xfId="2" applyNumberFormat="1" applyFont="1" applyFill="1" applyBorder="1"/>
    <xf numFmtId="0" fontId="9" fillId="0" borderId="21" xfId="2" applyFont="1" applyFill="1" applyBorder="1"/>
    <xf numFmtId="4" fontId="10" fillId="0" borderId="21" xfId="3" applyFont="1" applyFill="1" applyBorder="1"/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10" fillId="0" borderId="2" xfId="2" applyFont="1" applyFill="1" applyBorder="1" applyAlignment="1">
      <alignment vertical="center" wrapText="1"/>
    </xf>
    <xf numFmtId="12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vertical="center" wrapText="1"/>
    </xf>
    <xf numFmtId="4" fontId="10" fillId="0" borderId="21" xfId="2" applyNumberFormat="1" applyFont="1" applyFill="1" applyBorder="1" applyAlignment="1">
      <alignment vertical="center" wrapText="1"/>
    </xf>
    <xf numFmtId="1" fontId="10" fillId="0" borderId="6" xfId="2" applyNumberFormat="1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6" xfId="2" applyNumberFormat="1" applyFont="1" applyBorder="1"/>
    <xf numFmtId="0" fontId="18" fillId="0" borderId="0" xfId="2" applyFont="1" applyBorder="1"/>
    <xf numFmtId="1" fontId="18" fillId="0" borderId="0" xfId="2" applyNumberFormat="1" applyFont="1" applyBorder="1"/>
    <xf numFmtId="0" fontId="18" fillId="0" borderId="0" xfId="2" applyNumberFormat="1" applyFont="1" applyBorder="1"/>
    <xf numFmtId="4" fontId="9" fillId="3" borderId="0" xfId="2" applyNumberFormat="1" applyFont="1" applyFill="1" applyBorder="1"/>
    <xf numFmtId="4" fontId="9" fillId="3" borderId="10" xfId="2" applyNumberFormat="1" applyFont="1" applyFill="1" applyBorder="1"/>
    <xf numFmtId="4" fontId="10" fillId="3" borderId="0" xfId="2" applyNumberFormat="1" applyFont="1" applyFill="1"/>
    <xf numFmtId="3" fontId="10" fillId="0" borderId="0" xfId="2" applyNumberFormat="1" applyFont="1" applyAlignment="1">
      <alignment wrapText="1"/>
    </xf>
    <xf numFmtId="0" fontId="8" fillId="0" borderId="0" xfId="2" applyAlignment="1">
      <alignment horizontal="center" vertical="center" wrapText="1"/>
    </xf>
    <xf numFmtId="0" fontId="19" fillId="0" borderId="0" xfId="4"/>
    <xf numFmtId="0" fontId="19" fillId="0" borderId="0" xfId="4" applyAlignment="1">
      <alignment vertical="center" wrapText="1"/>
    </xf>
    <xf numFmtId="0" fontId="0" fillId="2" borderId="0" xfId="0" applyFill="1" applyAlignment="1">
      <alignment wrapText="1"/>
    </xf>
    <xf numFmtId="12" fontId="10" fillId="2" borderId="6" xfId="2" applyNumberFormat="1" applyFont="1" applyFill="1" applyBorder="1" applyAlignment="1">
      <alignment vertical="center" wrapText="1"/>
    </xf>
    <xf numFmtId="43" fontId="10" fillId="2" borderId="1" xfId="1" applyFont="1" applyFill="1" applyBorder="1"/>
    <xf numFmtId="3" fontId="10" fillId="2" borderId="6" xfId="2" applyNumberFormat="1" applyFont="1" applyFill="1" applyBorder="1"/>
    <xf numFmtId="0" fontId="10" fillId="0" borderId="1" xfId="2" applyFont="1" applyFill="1" applyBorder="1" applyAlignment="1">
      <alignment horizontal="center" wrapText="1"/>
    </xf>
    <xf numFmtId="44" fontId="6" fillId="2" borderId="1" xfId="1" applyNumberFormat="1" applyFont="1" applyFill="1" applyBorder="1" applyAlignment="1">
      <alignment horizontal="center" vertical="center"/>
    </xf>
    <xf numFmtId="44" fontId="0" fillId="0" borderId="0" xfId="0" applyNumberFormat="1"/>
    <xf numFmtId="44" fontId="6" fillId="0" borderId="0" xfId="0" applyNumberFormat="1" applyFont="1" applyAlignment="1">
      <alignment vertical="center"/>
    </xf>
    <xf numFmtId="0" fontId="10" fillId="10" borderId="1" xfId="2" applyFont="1" applyFill="1" applyBorder="1"/>
    <xf numFmtId="1" fontId="10" fillId="10" borderId="1" xfId="2" applyNumberFormat="1" applyFont="1" applyFill="1" applyBorder="1"/>
    <xf numFmtId="0" fontId="10" fillId="10" borderId="1" xfId="2" applyFont="1" applyFill="1" applyBorder="1" applyAlignment="1">
      <alignment horizontal="center"/>
    </xf>
    <xf numFmtId="0" fontId="10" fillId="10" borderId="1" xfId="2" applyNumberFormat="1" applyFont="1" applyFill="1" applyBorder="1"/>
    <xf numFmtId="4" fontId="10" fillId="10" borderId="1" xfId="2" applyNumberFormat="1" applyFont="1" applyFill="1" applyBorder="1" applyAlignment="1">
      <alignment horizontal="center"/>
    </xf>
    <xf numFmtId="4" fontId="10" fillId="10" borderId="1" xfId="2" applyNumberFormat="1" applyFont="1" applyFill="1" applyBorder="1"/>
    <xf numFmtId="0" fontId="10" fillId="10" borderId="6" xfId="2" applyFont="1" applyFill="1" applyBorder="1" applyAlignment="1">
      <alignment vertical="center" wrapText="1"/>
    </xf>
    <xf numFmtId="0" fontId="10" fillId="10" borderId="7" xfId="2" applyFont="1" applyFill="1" applyBorder="1" applyAlignment="1">
      <alignment wrapText="1"/>
    </xf>
    <xf numFmtId="12" fontId="10" fillId="10" borderId="7" xfId="2" applyNumberFormat="1" applyFont="1" applyFill="1" applyBorder="1" applyAlignment="1">
      <alignment horizontal="center"/>
    </xf>
    <xf numFmtId="0" fontId="10" fillId="10" borderId="7" xfId="2" applyFont="1" applyFill="1" applyBorder="1" applyAlignment="1">
      <alignment horizontal="center"/>
    </xf>
    <xf numFmtId="0" fontId="10" fillId="10" borderId="7" xfId="2" applyNumberFormat="1" applyFont="1" applyFill="1" applyBorder="1"/>
    <xf numFmtId="4" fontId="10" fillId="10" borderId="7" xfId="2" applyNumberFormat="1" applyFont="1" applyFill="1" applyBorder="1" applyAlignment="1">
      <alignment horizontal="center"/>
    </xf>
    <xf numFmtId="4" fontId="10" fillId="10" borderId="7" xfId="2" applyNumberFormat="1" applyFont="1" applyFill="1" applyBorder="1"/>
    <xf numFmtId="0" fontId="10" fillId="10" borderId="1" xfId="2" applyFont="1" applyFill="1" applyBorder="1" applyAlignment="1">
      <alignment wrapText="1"/>
    </xf>
    <xf numFmtId="4" fontId="10" fillId="10" borderId="2" xfId="2" applyNumberFormat="1" applyFont="1" applyFill="1" applyBorder="1"/>
    <xf numFmtId="1" fontId="10" fillId="10" borderId="2" xfId="2" applyNumberFormat="1" applyFont="1" applyFill="1" applyBorder="1"/>
    <xf numFmtId="0" fontId="10" fillId="10" borderId="26" xfId="2" applyFont="1" applyFill="1" applyBorder="1" applyAlignment="1">
      <alignment horizontal="center"/>
    </xf>
    <xf numFmtId="0" fontId="10" fillId="10" borderId="2" xfId="2" applyNumberFormat="1" applyFont="1" applyFill="1" applyBorder="1"/>
    <xf numFmtId="0" fontId="10" fillId="10" borderId="2" xfId="2" applyFont="1" applyFill="1" applyBorder="1" applyAlignment="1">
      <alignment horizontal="center"/>
    </xf>
    <xf numFmtId="4" fontId="10" fillId="10" borderId="2" xfId="2" applyNumberFormat="1" applyFont="1" applyFill="1" applyBorder="1" applyAlignment="1">
      <alignment horizontal="center"/>
    </xf>
    <xf numFmtId="0" fontId="10" fillId="11" borderId="1" xfId="2" applyFont="1" applyFill="1" applyBorder="1"/>
    <xf numFmtId="0" fontId="10" fillId="11" borderId="1" xfId="2" applyFont="1" applyFill="1" applyBorder="1" applyAlignment="1">
      <alignment wrapText="1"/>
    </xf>
    <xf numFmtId="0" fontId="10" fillId="11" borderId="1" xfId="2" applyFont="1" applyFill="1" applyBorder="1" applyAlignment="1">
      <alignment horizontal="center"/>
    </xf>
    <xf numFmtId="4" fontId="10" fillId="11" borderId="2" xfId="2" applyNumberFormat="1" applyFont="1" applyFill="1" applyBorder="1"/>
    <xf numFmtId="43" fontId="10" fillId="11" borderId="1" xfId="1" applyFont="1" applyFill="1" applyBorder="1"/>
    <xf numFmtId="3" fontId="9" fillId="11" borderId="0" xfId="2" applyNumberFormat="1" applyFont="1" applyFill="1"/>
    <xf numFmtId="4" fontId="9" fillId="11" borderId="7" xfId="2" applyNumberFormat="1" applyFont="1" applyFill="1" applyBorder="1"/>
    <xf numFmtId="3" fontId="10" fillId="11" borderId="0" xfId="2" applyNumberFormat="1" applyFont="1" applyFill="1" applyBorder="1"/>
    <xf numFmtId="4" fontId="9" fillId="11" borderId="24" xfId="2" applyNumberFormat="1" applyFont="1" applyFill="1" applyBorder="1"/>
    <xf numFmtId="0" fontId="9" fillId="11" borderId="0" xfId="2" applyFont="1" applyFill="1" applyBorder="1"/>
    <xf numFmtId="4" fontId="9" fillId="11" borderId="23" xfId="2" applyNumberFormat="1" applyFont="1" applyFill="1" applyBorder="1"/>
    <xf numFmtId="43" fontId="9" fillId="11" borderId="1" xfId="1" applyFont="1" applyFill="1" applyBorder="1"/>
    <xf numFmtId="4" fontId="10" fillId="3" borderId="1" xfId="2" applyNumberFormat="1" applyFont="1" applyFill="1" applyBorder="1"/>
    <xf numFmtId="0" fontId="11" fillId="2" borderId="1" xfId="2" applyFont="1" applyFill="1" applyBorder="1" applyAlignment="1">
      <alignment horizontal="center" vertical="center" wrapText="1"/>
    </xf>
    <xf numFmtId="43" fontId="10" fillId="0" borderId="0" xfId="1" applyFont="1"/>
    <xf numFmtId="43" fontId="10" fillId="0" borderId="0" xfId="1" applyFont="1" applyBorder="1"/>
    <xf numFmtId="0" fontId="10" fillId="12" borderId="1" xfId="2" applyFont="1" applyFill="1" applyBorder="1"/>
    <xf numFmtId="0" fontId="19" fillId="0" borderId="1" xfId="4" applyBorder="1"/>
    <xf numFmtId="0" fontId="19" fillId="0" borderId="1" xfId="4" applyBorder="1" applyAlignment="1">
      <alignment vertical="center" wrapText="1"/>
    </xf>
    <xf numFmtId="0" fontId="20" fillId="0" borderId="0" xfId="2" applyFont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43" fontId="10" fillId="0" borderId="0" xfId="1" applyFont="1" applyFill="1"/>
    <xf numFmtId="0" fontId="0" fillId="0" borderId="0" xfId="0" applyBorder="1"/>
    <xf numFmtId="44" fontId="2" fillId="0" borderId="1" xfId="5" applyFont="1" applyBorder="1" applyAlignment="1">
      <alignment vertical="center"/>
    </xf>
    <xf numFmtId="43" fontId="0" fillId="0" borderId="5" xfId="0" applyNumberFormat="1" applyFont="1" applyBorder="1" applyAlignment="1">
      <alignment vertical="center" wrapText="1"/>
    </xf>
    <xf numFmtId="4" fontId="22" fillId="0" borderId="0" xfId="2" applyNumberFormat="1" applyFont="1" applyBorder="1" applyAlignment="1">
      <alignment vertical="center" wrapText="1"/>
    </xf>
    <xf numFmtId="0" fontId="22" fillId="0" borderId="0" xfId="2" applyFont="1" applyBorder="1" applyAlignment="1">
      <alignment vertical="center" wrapText="1"/>
    </xf>
    <xf numFmtId="164" fontId="0" fillId="0" borderId="0" xfId="0" applyNumberFormat="1"/>
    <xf numFmtId="0" fontId="10" fillId="0" borderId="15" xfId="2" applyFont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0" fontId="19" fillId="0" borderId="1" xfId="4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0" fontId="0" fillId="0" borderId="12" xfId="0" applyBorder="1" applyAlignment="1">
      <alignment wrapText="1"/>
    </xf>
    <xf numFmtId="165" fontId="0" fillId="0" borderId="0" xfId="0" applyNumberFormat="1"/>
    <xf numFmtId="0" fontId="19" fillId="0" borderId="0" xfId="6" applyProtection="1">
      <protection locked="0"/>
    </xf>
    <xf numFmtId="0" fontId="21" fillId="13" borderId="15" xfId="6" applyFont="1" applyFill="1" applyBorder="1" applyAlignment="1" applyProtection="1">
      <alignment horizontal="center" vertical="center"/>
      <protection locked="0"/>
    </xf>
    <xf numFmtId="0" fontId="28" fillId="13" borderId="1" xfId="6" applyFont="1" applyFill="1" applyBorder="1" applyAlignment="1" applyProtection="1">
      <alignment horizontal="center" vertical="center" wrapText="1"/>
      <protection locked="0"/>
    </xf>
    <xf numFmtId="0" fontId="21" fillId="14" borderId="32" xfId="6" applyFont="1" applyFill="1" applyBorder="1" applyAlignment="1" applyProtection="1">
      <alignment horizontal="center" vertical="center"/>
      <protection locked="0"/>
    </xf>
    <xf numFmtId="0" fontId="19" fillId="0" borderId="33" xfId="6" applyFont="1" applyFill="1" applyBorder="1" applyAlignment="1" applyProtection="1">
      <alignment horizontal="justify" vertical="center" wrapText="1"/>
      <protection locked="0"/>
    </xf>
    <xf numFmtId="0" fontId="29" fillId="14" borderId="33" xfId="6" applyFont="1" applyFill="1" applyBorder="1" applyAlignment="1" applyProtection="1">
      <alignment horizontal="center" vertical="center" wrapText="1"/>
      <protection hidden="1"/>
    </xf>
    <xf numFmtId="4" fontId="19" fillId="0" borderId="34" xfId="6" applyNumberFormat="1" applyFont="1" applyBorder="1" applyAlignment="1" applyProtection="1">
      <alignment horizontal="center" vertical="center"/>
      <protection locked="0"/>
    </xf>
    <xf numFmtId="0" fontId="19" fillId="0" borderId="0" xfId="6" applyAlignment="1" applyProtection="1">
      <alignment horizontal="center"/>
      <protection locked="0"/>
    </xf>
    <xf numFmtId="0" fontId="21" fillId="14" borderId="35" xfId="6" applyFont="1" applyFill="1" applyBorder="1" applyAlignment="1" applyProtection="1">
      <alignment horizontal="center" vertical="center"/>
      <protection locked="0"/>
    </xf>
    <xf numFmtId="0" fontId="21" fillId="14" borderId="8" xfId="6" applyFont="1" applyFill="1" applyBorder="1" applyAlignment="1" applyProtection="1">
      <alignment horizontal="center" vertical="center"/>
      <protection locked="0"/>
    </xf>
    <xf numFmtId="0" fontId="19" fillId="0" borderId="36" xfId="6" applyFont="1" applyFill="1" applyBorder="1" applyAlignment="1" applyProtection="1">
      <alignment horizontal="justify" vertical="center" wrapText="1"/>
      <protection locked="0"/>
    </xf>
    <xf numFmtId="0" fontId="19" fillId="0" borderId="37" xfId="6" applyFont="1" applyFill="1" applyBorder="1" applyAlignment="1" applyProtection="1">
      <alignment horizontal="justify" vertical="center" wrapText="1"/>
      <protection locked="0"/>
    </xf>
    <xf numFmtId="0" fontId="19" fillId="0" borderId="38" xfId="6" applyFont="1" applyFill="1" applyBorder="1" applyAlignment="1" applyProtection="1">
      <alignment horizontal="justify" vertical="center" wrapText="1"/>
      <protection locked="0"/>
    </xf>
    <xf numFmtId="0" fontId="21" fillId="14" borderId="7" xfId="6" applyFont="1" applyFill="1" applyBorder="1" applyAlignment="1" applyProtection="1">
      <alignment horizontal="center" vertical="center"/>
      <protection locked="0"/>
    </xf>
    <xf numFmtId="0" fontId="29" fillId="14" borderId="33" xfId="6" quotePrefix="1" applyFont="1" applyFill="1" applyBorder="1" applyAlignment="1" applyProtection="1">
      <alignment horizontal="center" vertical="center" wrapText="1"/>
      <protection hidden="1"/>
    </xf>
    <xf numFmtId="0" fontId="19" fillId="0" borderId="39" xfId="6" applyFont="1" applyFill="1" applyBorder="1" applyAlignment="1" applyProtection="1">
      <alignment horizontal="justify" vertical="center" wrapText="1"/>
      <protection locked="0"/>
    </xf>
    <xf numFmtId="0" fontId="29" fillId="14" borderId="40" xfId="6" applyFont="1" applyFill="1" applyBorder="1" applyAlignment="1" applyProtection="1">
      <alignment horizontal="center" vertical="center" wrapText="1"/>
      <protection hidden="1"/>
    </xf>
    <xf numFmtId="0" fontId="19" fillId="0" borderId="1" xfId="6" applyFont="1" applyFill="1" applyBorder="1" applyAlignment="1" applyProtection="1">
      <alignment horizontal="justify" vertical="center" wrapText="1"/>
      <protection locked="0"/>
    </xf>
    <xf numFmtId="0" fontId="29" fillId="14" borderId="39" xfId="6" applyFont="1" applyFill="1" applyBorder="1" applyAlignment="1" applyProtection="1">
      <alignment horizontal="center" vertical="center" wrapText="1"/>
      <protection hidden="1"/>
    </xf>
    <xf numFmtId="0" fontId="21" fillId="14" borderId="1" xfId="6" applyFont="1" applyFill="1" applyBorder="1" applyAlignment="1" applyProtection="1">
      <alignment horizontal="center" vertical="center"/>
      <protection locked="0"/>
    </xf>
    <xf numFmtId="4" fontId="19" fillId="0" borderId="41" xfId="6" applyNumberFormat="1" applyFont="1" applyBorder="1" applyAlignment="1" applyProtection="1">
      <alignment horizontal="center" vertical="center"/>
      <protection locked="0"/>
    </xf>
    <xf numFmtId="0" fontId="21" fillId="14" borderId="42" xfId="6" applyFont="1" applyFill="1" applyBorder="1" applyAlignment="1" applyProtection="1">
      <alignment horizontal="center" vertical="center"/>
      <protection locked="0"/>
    </xf>
    <xf numFmtId="0" fontId="19" fillId="6" borderId="1" xfId="6" applyFont="1" applyFill="1" applyBorder="1" applyAlignment="1" applyProtection="1">
      <alignment horizontal="left" vertical="center" wrapText="1"/>
      <protection locked="0"/>
    </xf>
    <xf numFmtId="0" fontId="29" fillId="14" borderId="43" xfId="6" applyFont="1" applyFill="1" applyBorder="1" applyAlignment="1" applyProtection="1">
      <alignment horizontal="center" vertical="center" wrapText="1"/>
      <protection hidden="1"/>
    </xf>
    <xf numFmtId="4" fontId="19" fillId="0" borderId="0" xfId="6" applyNumberFormat="1" applyProtection="1">
      <protection locked="0"/>
    </xf>
    <xf numFmtId="0" fontId="21" fillId="14" borderId="44" xfId="6" applyFont="1" applyFill="1" applyBorder="1" applyAlignment="1" applyProtection="1">
      <alignment horizontal="center" vertical="center"/>
      <protection locked="0"/>
    </xf>
    <xf numFmtId="0" fontId="21" fillId="14" borderId="45" xfId="6" applyFont="1" applyFill="1" applyBorder="1" applyAlignment="1" applyProtection="1">
      <alignment horizontal="center" vertical="center"/>
      <protection locked="0"/>
    </xf>
    <xf numFmtId="0" fontId="19" fillId="0" borderId="40" xfId="6" applyFont="1" applyFill="1" applyBorder="1" applyAlignment="1" applyProtection="1">
      <alignment horizontal="justify" vertical="center" wrapText="1"/>
      <protection locked="0"/>
    </xf>
    <xf numFmtId="0" fontId="29" fillId="14" borderId="40" xfId="6" quotePrefix="1" applyFont="1" applyFill="1" applyBorder="1" applyAlignment="1" applyProtection="1">
      <alignment horizontal="center" vertical="center" wrapText="1"/>
      <protection hidden="1"/>
    </xf>
    <xf numFmtId="0" fontId="19" fillId="0" borderId="0" xfId="6" applyFont="1" applyBorder="1" applyAlignment="1" applyProtection="1">
      <alignment horizontal="justify" vertical="center" wrapText="1"/>
      <protection locked="0"/>
    </xf>
    <xf numFmtId="0" fontId="19" fillId="0" borderId="1" xfId="6" applyFont="1" applyBorder="1" applyAlignment="1" applyProtection="1">
      <alignment horizontal="justify" vertical="center"/>
      <protection locked="0"/>
    </xf>
    <xf numFmtId="0" fontId="29" fillId="14" borderId="1" xfId="6" applyFont="1" applyFill="1" applyBorder="1" applyAlignment="1" applyProtection="1">
      <alignment horizontal="center" vertical="center" wrapText="1"/>
      <protection hidden="1"/>
    </xf>
    <xf numFmtId="0" fontId="21" fillId="14" borderId="36" xfId="6" applyFont="1" applyFill="1" applyBorder="1" applyAlignment="1" applyProtection="1">
      <alignment horizontal="center" vertical="center"/>
      <protection locked="0"/>
    </xf>
    <xf numFmtId="0" fontId="19" fillId="0" borderId="6" xfId="6" applyFont="1" applyFill="1" applyBorder="1" applyAlignment="1" applyProtection="1">
      <alignment horizontal="justify" vertical="center" wrapText="1"/>
      <protection locked="0"/>
    </xf>
    <xf numFmtId="0" fontId="27" fillId="0" borderId="0" xfId="6" applyFont="1" applyFill="1" applyBorder="1" applyAlignment="1" applyProtection="1">
      <alignment horizontal="center" vertical="center"/>
      <protection locked="0"/>
    </xf>
    <xf numFmtId="0" fontId="27" fillId="0" borderId="0" xfId="6" applyFont="1" applyFill="1" applyBorder="1" applyAlignment="1" applyProtection="1">
      <alignment horizontal="center" vertical="center" wrapText="1"/>
      <protection locked="0"/>
    </xf>
    <xf numFmtId="4" fontId="27" fillId="0" borderId="0" xfId="6" applyNumberFormat="1" applyFont="1" applyFill="1" applyBorder="1" applyAlignment="1" applyProtection="1">
      <alignment horizontal="center" vertical="center"/>
      <protection hidden="1"/>
    </xf>
    <xf numFmtId="0" fontId="19" fillId="0" borderId="0" xfId="6" applyFill="1" applyProtection="1">
      <protection locked="0"/>
    </xf>
    <xf numFmtId="4" fontId="27" fillId="0" borderId="1" xfId="6" applyNumberFormat="1" applyFont="1" applyFill="1" applyBorder="1" applyAlignment="1" applyProtection="1">
      <alignment horizontal="center" vertical="center"/>
      <protection hidden="1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Alignment="1" applyProtection="1">
      <alignment horizontal="center" vertical="center"/>
      <protection locked="0"/>
    </xf>
    <xf numFmtId="4" fontId="19" fillId="0" borderId="0" xfId="6" applyNumberFormat="1" applyAlignment="1" applyProtection="1">
      <alignment horizontal="center" vertical="center"/>
      <protection locked="0"/>
    </xf>
    <xf numFmtId="4" fontId="19" fillId="9" borderId="0" xfId="6" applyNumberFormat="1" applyFill="1" applyAlignment="1" applyProtection="1">
      <alignment horizontal="center" vertical="center"/>
      <protection locked="0"/>
    </xf>
    <xf numFmtId="0" fontId="31" fillId="0" borderId="0" xfId="6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2" fillId="0" borderId="1" xfId="0" applyFont="1" applyBorder="1"/>
    <xf numFmtId="4" fontId="32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167" fontId="32" fillId="0" borderId="1" xfId="0" applyNumberFormat="1" applyFont="1" applyBorder="1" applyAlignment="1">
      <alignment horizontal="left"/>
    </xf>
    <xf numFmtId="167" fontId="0" fillId="0" borderId="0" xfId="0" applyNumberFormat="1"/>
    <xf numFmtId="4" fontId="32" fillId="5" borderId="1" xfId="0" applyNumberFormat="1" applyFont="1" applyFill="1" applyBorder="1" applyAlignment="1">
      <alignment horizontal="left"/>
    </xf>
    <xf numFmtId="167" fontId="0" fillId="5" borderId="1" xfId="0" applyNumberFormat="1" applyFill="1" applyBorder="1"/>
    <xf numFmtId="167" fontId="0" fillId="5" borderId="0" xfId="0" applyNumberFormat="1" applyFill="1"/>
    <xf numFmtId="44" fontId="0" fillId="0" borderId="0" xfId="5" applyFont="1"/>
    <xf numFmtId="167" fontId="0" fillId="0" borderId="0" xfId="5" applyNumberFormat="1" applyFont="1"/>
    <xf numFmtId="167" fontId="0" fillId="2" borderId="0" xfId="0" applyNumberFormat="1" applyFill="1"/>
    <xf numFmtId="0" fontId="21" fillId="0" borderId="1" xfId="6" applyFont="1" applyBorder="1" applyAlignment="1" applyProtection="1">
      <alignment horizontal="center" vertical="center" wrapText="1"/>
      <protection hidden="1"/>
    </xf>
    <xf numFmtId="44" fontId="6" fillId="5" borderId="1" xfId="1" applyNumberFormat="1" applyFont="1" applyFill="1" applyBorder="1" applyAlignment="1">
      <alignment vertical="center"/>
    </xf>
    <xf numFmtId="0" fontId="10" fillId="11" borderId="0" xfId="2" applyFont="1" applyFill="1" applyBorder="1"/>
    <xf numFmtId="4" fontId="10" fillId="11" borderId="1" xfId="2" applyNumberFormat="1" applyFont="1" applyFill="1" applyBorder="1"/>
    <xf numFmtId="168" fontId="0" fillId="0" borderId="0" xfId="0" applyNumberFormat="1"/>
    <xf numFmtId="4" fontId="27" fillId="2" borderId="46" xfId="6" applyNumberFormat="1" applyFont="1" applyFill="1" applyBorder="1" applyAlignment="1" applyProtection="1">
      <alignment horizontal="center" vertical="center"/>
      <protection hidden="1"/>
    </xf>
    <xf numFmtId="169" fontId="0" fillId="0" borderId="48" xfId="7" applyFont="1" applyBorder="1"/>
    <xf numFmtId="170" fontId="0" fillId="0" borderId="48" xfId="7" applyNumberFormat="1" applyFont="1" applyBorder="1"/>
    <xf numFmtId="169" fontId="19" fillId="15" borderId="48" xfId="7" applyFont="1" applyFill="1" applyBorder="1"/>
    <xf numFmtId="170" fontId="19" fillId="17" borderId="48" xfId="7" applyNumberFormat="1" applyFont="1" applyFill="1" applyBorder="1" applyAlignment="1">
      <alignment horizontal="center"/>
    </xf>
    <xf numFmtId="0" fontId="4" fillId="0" borderId="1" xfId="8" applyFont="1" applyBorder="1"/>
    <xf numFmtId="0" fontId="4" fillId="0" borderId="6" xfId="8" applyFont="1" applyBorder="1"/>
    <xf numFmtId="0" fontId="33" fillId="0" borderId="0" xfId="8"/>
    <xf numFmtId="0" fontId="32" fillId="0" borderId="1" xfId="8" applyFont="1" applyBorder="1"/>
    <xf numFmtId="0" fontId="19" fillId="0" borderId="1" xfId="8" applyFont="1" applyBorder="1"/>
    <xf numFmtId="0" fontId="21" fillId="0" borderId="1" xfId="8" applyFont="1" applyBorder="1" applyAlignment="1">
      <alignment wrapText="1"/>
    </xf>
    <xf numFmtId="0" fontId="21" fillId="5" borderId="1" xfId="8" applyFont="1" applyFill="1" applyBorder="1"/>
    <xf numFmtId="4" fontId="21" fillId="0" borderId="1" xfId="8" applyNumberFormat="1" applyFont="1" applyBorder="1"/>
    <xf numFmtId="4" fontId="21" fillId="0" borderId="1" xfId="8" applyNumberFormat="1" applyFont="1" applyBorder="1" applyAlignment="1">
      <alignment wrapText="1"/>
    </xf>
    <xf numFmtId="4" fontId="21" fillId="0" borderId="1" xfId="8" applyNumberFormat="1" applyFont="1" applyFill="1" applyBorder="1" applyAlignment="1">
      <alignment wrapText="1"/>
    </xf>
    <xf numFmtId="4" fontId="21" fillId="0" borderId="47" xfId="8" applyNumberFormat="1" applyFont="1" applyBorder="1" applyAlignment="1">
      <alignment wrapText="1"/>
    </xf>
    <xf numFmtId="0" fontId="33" fillId="0" borderId="0" xfId="8" applyAlignment="1">
      <alignment wrapText="1"/>
    </xf>
    <xf numFmtId="0" fontId="32" fillId="0" borderId="7" xfId="8" applyFont="1" applyBorder="1"/>
    <xf numFmtId="0" fontId="19" fillId="0" borderId="0" xfId="8" applyFont="1"/>
    <xf numFmtId="0" fontId="32" fillId="0" borderId="1" xfId="8" applyFont="1" applyBorder="1" applyAlignment="1">
      <alignment horizontal="left" vertical="center"/>
    </xf>
    <xf numFmtId="167" fontId="32" fillId="0" borderId="1" xfId="8" applyNumberFormat="1" applyFont="1" applyBorder="1" applyAlignment="1">
      <alignment horizontal="left"/>
    </xf>
    <xf numFmtId="2" fontId="33" fillId="0" borderId="1" xfId="8" applyNumberFormat="1" applyBorder="1" applyAlignment="1">
      <alignment horizontal="left" indent="2"/>
    </xf>
    <xf numFmtId="2" fontId="33" fillId="0" borderId="1" xfId="8" applyNumberFormat="1" applyBorder="1" applyAlignment="1"/>
    <xf numFmtId="168" fontId="33" fillId="0" borderId="1" xfId="8" applyNumberFormat="1" applyBorder="1"/>
    <xf numFmtId="2" fontId="33" fillId="2" borderId="1" xfId="8" applyNumberFormat="1" applyFill="1" applyBorder="1" applyAlignment="1"/>
    <xf numFmtId="0" fontId="32" fillId="5" borderId="1" xfId="8" applyFont="1" applyFill="1" applyBorder="1" applyAlignment="1">
      <alignment horizontal="left" vertical="center"/>
    </xf>
    <xf numFmtId="2" fontId="33" fillId="5" borderId="1" xfId="8" applyNumberFormat="1" applyFill="1" applyBorder="1" applyAlignment="1">
      <alignment horizontal="left" indent="2"/>
    </xf>
    <xf numFmtId="2" fontId="33" fillId="5" borderId="1" xfId="8" applyNumberFormat="1" applyFill="1" applyBorder="1" applyAlignment="1"/>
    <xf numFmtId="168" fontId="33" fillId="5" borderId="1" xfId="8" applyNumberFormat="1" applyFill="1" applyBorder="1"/>
    <xf numFmtId="0" fontId="33" fillId="5" borderId="0" xfId="8" applyFill="1"/>
    <xf numFmtId="2" fontId="33" fillId="16" borderId="1" xfId="8" applyNumberFormat="1" applyFill="1" applyBorder="1" applyAlignment="1"/>
    <xf numFmtId="168" fontId="33" fillId="0" borderId="6" xfId="8" applyNumberFormat="1" applyBorder="1"/>
    <xf numFmtId="0" fontId="33" fillId="0" borderId="0" xfId="8" applyBorder="1"/>
    <xf numFmtId="168" fontId="21" fillId="5" borderId="49" xfId="8" applyNumberFormat="1" applyFont="1" applyFill="1" applyBorder="1"/>
    <xf numFmtId="168" fontId="21" fillId="5" borderId="47" xfId="8" applyNumberFormat="1" applyFont="1" applyFill="1" applyBorder="1"/>
    <xf numFmtId="168" fontId="21" fillId="5" borderId="50" xfId="8" applyNumberFormat="1" applyFont="1" applyFill="1" applyBorder="1"/>
    <xf numFmtId="2" fontId="33" fillId="0" borderId="0" xfId="8" applyNumberFormat="1"/>
    <xf numFmtId="168" fontId="26" fillId="5" borderId="49" xfId="8" applyNumberFormat="1" applyFont="1" applyFill="1" applyBorder="1"/>
    <xf numFmtId="167" fontId="33" fillId="0" borderId="0" xfId="8" applyNumberFormat="1"/>
    <xf numFmtId="168" fontId="33" fillId="4" borderId="1" xfId="8" applyNumberFormat="1" applyFill="1" applyBorder="1"/>
    <xf numFmtId="169" fontId="0" fillId="5" borderId="48" xfId="7" applyFont="1" applyFill="1" applyBorder="1"/>
    <xf numFmtId="170" fontId="0" fillId="5" borderId="48" xfId="7" applyNumberFormat="1" applyFont="1" applyFill="1" applyBorder="1"/>
    <xf numFmtId="4" fontId="10" fillId="4" borderId="2" xfId="2" applyNumberFormat="1" applyFont="1" applyFill="1" applyBorder="1"/>
    <xf numFmtId="4" fontId="9" fillId="4" borderId="10" xfId="2" applyNumberFormat="1" applyFont="1" applyFill="1" applyBorder="1"/>
    <xf numFmtId="4" fontId="8" fillId="0" borderId="1" xfId="2" applyNumberForma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4" fontId="8" fillId="12" borderId="1" xfId="2" applyNumberFormat="1" applyFill="1" applyBorder="1" applyAlignment="1">
      <alignment horizontal="center" vertical="center" wrapText="1"/>
    </xf>
    <xf numFmtId="0" fontId="8" fillId="12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44" fontId="6" fillId="2" borderId="1" xfId="1" applyNumberFormat="1" applyFont="1" applyFill="1" applyBorder="1" applyAlignment="1">
      <alignment vertical="center"/>
    </xf>
    <xf numFmtId="2" fontId="19" fillId="5" borderId="1" xfId="8" applyNumberFormat="1" applyFont="1" applyFill="1" applyBorder="1" applyAlignment="1">
      <alignment horizontal="left" indent="2"/>
    </xf>
    <xf numFmtId="2" fontId="19" fillId="0" borderId="1" xfId="8" applyNumberFormat="1" applyFont="1" applyBorder="1" applyAlignment="1">
      <alignment horizontal="left" indent="2"/>
    </xf>
    <xf numFmtId="0" fontId="10" fillId="12" borderId="1" xfId="2" applyFont="1" applyFill="1" applyBorder="1" applyAlignment="1">
      <alignment wrapText="1"/>
    </xf>
    <xf numFmtId="0" fontId="19" fillId="5" borderId="0" xfId="8" applyFont="1" applyFill="1"/>
    <xf numFmtId="2" fontId="19" fillId="5" borderId="1" xfId="8" applyNumberFormat="1" applyFont="1" applyFill="1" applyBorder="1" applyAlignment="1"/>
    <xf numFmtId="0" fontId="10" fillId="11" borderId="4" xfId="2" applyFont="1" applyFill="1" applyBorder="1"/>
    <xf numFmtId="4" fontId="9" fillId="11" borderId="4" xfId="2" applyNumberFormat="1" applyFont="1" applyFill="1" applyBorder="1"/>
    <xf numFmtId="4" fontId="10" fillId="11" borderId="6" xfId="2" applyNumberFormat="1" applyFont="1" applyFill="1" applyBorder="1"/>
    <xf numFmtId="4" fontId="9" fillId="11" borderId="25" xfId="2" applyNumberFormat="1" applyFont="1" applyFill="1" applyBorder="1"/>
    <xf numFmtId="0" fontId="10" fillId="0" borderId="0" xfId="2" applyFont="1" applyBorder="1" applyAlignment="1">
      <alignment horizontal="center"/>
    </xf>
    <xf numFmtId="0" fontId="2" fillId="0" borderId="1" xfId="0" applyFont="1" applyBorder="1"/>
    <xf numFmtId="4" fontId="0" fillId="0" borderId="1" xfId="0" applyNumberFormat="1" applyBorder="1"/>
    <xf numFmtId="0" fontId="2" fillId="0" borderId="1" xfId="0" applyFont="1" applyFill="1" applyBorder="1"/>
    <xf numFmtId="4" fontId="0" fillId="0" borderId="0" xfId="0" applyNumberFormat="1"/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44" fontId="2" fillId="0" borderId="1" xfId="5" applyFont="1" applyBorder="1"/>
    <xf numFmtId="4" fontId="9" fillId="0" borderId="5" xfId="2" applyNumberFormat="1" applyFont="1" applyBorder="1"/>
    <xf numFmtId="4" fontId="9" fillId="0" borderId="1" xfId="2" applyNumberFormat="1" applyFont="1" applyBorder="1"/>
    <xf numFmtId="44" fontId="0" fillId="0" borderId="1" xfId="5" applyFont="1" applyBorder="1"/>
    <xf numFmtId="44" fontId="0" fillId="0" borderId="1" xfId="0" applyNumberFormat="1" applyBorder="1"/>
    <xf numFmtId="44" fontId="0" fillId="5" borderId="1" xfId="0" applyNumberFormat="1" applyFill="1" applyBorder="1"/>
    <xf numFmtId="0" fontId="35" fillId="2" borderId="0" xfId="2" applyFont="1" applyFill="1" applyBorder="1" applyAlignment="1">
      <alignment vertical="center" wrapText="1"/>
    </xf>
    <xf numFmtId="44" fontId="36" fillId="2" borderId="1" xfId="4" applyNumberFormat="1" applyFont="1" applyFill="1" applyBorder="1" applyAlignment="1">
      <alignment vertical="center" wrapText="1"/>
    </xf>
    <xf numFmtId="0" fontId="10" fillId="2" borderId="0" xfId="2" applyFont="1" applyFill="1" applyBorder="1" applyAlignment="1">
      <alignment horizontal="center"/>
    </xf>
    <xf numFmtId="0" fontId="19" fillId="2" borderId="0" xfId="4" applyFill="1" applyBorder="1" applyAlignment="1">
      <alignment vertical="center" wrapText="1"/>
    </xf>
    <xf numFmtId="0" fontId="19" fillId="2" borderId="0" xfId="4" applyFill="1" applyBorder="1"/>
    <xf numFmtId="0" fontId="0" fillId="2" borderId="0" xfId="0" applyFill="1" applyBorder="1"/>
    <xf numFmtId="0" fontId="0" fillId="0" borderId="1" xfId="0" applyBorder="1" applyAlignment="1">
      <alignment horizontal="center"/>
    </xf>
    <xf numFmtId="43" fontId="9" fillId="2" borderId="1" xfId="1" applyFont="1" applyFill="1" applyBorder="1"/>
    <xf numFmtId="4" fontId="9" fillId="2" borderId="7" xfId="2" applyNumberFormat="1" applyFont="1" applyFill="1" applyBorder="1"/>
    <xf numFmtId="4" fontId="9" fillId="2" borderId="24" xfId="2" applyNumberFormat="1" applyFont="1" applyFill="1" applyBorder="1"/>
    <xf numFmtId="0" fontId="9" fillId="2" borderId="0" xfId="2" applyFont="1" applyFill="1" applyBorder="1"/>
    <xf numFmtId="4" fontId="9" fillId="2" borderId="23" xfId="2" applyNumberFormat="1" applyFont="1" applyFill="1" applyBorder="1"/>
    <xf numFmtId="0" fontId="19" fillId="0" borderId="1" xfId="4" applyBorder="1" applyAlignment="1">
      <alignment horizontal="left" vertical="center" wrapText="1"/>
    </xf>
    <xf numFmtId="0" fontId="8" fillId="0" borderId="1" xfId="2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4" fontId="8" fillId="0" borderId="1" xfId="2" applyNumberForma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4" fontId="22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2" borderId="0" xfId="4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/>
    </xf>
    <xf numFmtId="0" fontId="10" fillId="0" borderId="1" xfId="2" applyFont="1" applyBorder="1" applyAlignment="1">
      <alignment vertical="center" wrapText="1"/>
    </xf>
    <xf numFmtId="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Fill="1"/>
    <xf numFmtId="0" fontId="10" fillId="18" borderId="2" xfId="2" applyFont="1" applyFill="1" applyBorder="1"/>
    <xf numFmtId="0" fontId="10" fillId="19" borderId="2" xfId="2" applyFont="1" applyFill="1" applyBorder="1" applyAlignment="1">
      <alignment wrapText="1"/>
    </xf>
    <xf numFmtId="0" fontId="10" fillId="19" borderId="2" xfId="2" applyFont="1" applyFill="1" applyBorder="1" applyAlignment="1">
      <alignment vertical="center" wrapText="1"/>
    </xf>
    <xf numFmtId="0" fontId="10" fillId="19" borderId="1" xfId="2" applyFont="1" applyFill="1" applyBorder="1" applyAlignment="1">
      <alignment wrapText="1"/>
    </xf>
    <xf numFmtId="0" fontId="10" fillId="18" borderId="1" xfId="2" applyFont="1" applyFill="1" applyBorder="1" applyAlignment="1">
      <alignment wrapText="1"/>
    </xf>
    <xf numFmtId="0" fontId="10" fillId="2" borderId="15" xfId="2" applyFont="1" applyFill="1" applyBorder="1" applyAlignment="1">
      <alignment horizontal="center" vertical="center" wrapText="1"/>
    </xf>
    <xf numFmtId="3" fontId="13" fillId="2" borderId="15" xfId="2" applyNumberFormat="1" applyFont="1" applyFill="1" applyBorder="1"/>
    <xf numFmtId="4" fontId="10" fillId="2" borderId="2" xfId="2" applyNumberFormat="1" applyFont="1" applyFill="1" applyBorder="1" applyAlignment="1">
      <alignment vertical="center"/>
    </xf>
    <xf numFmtId="3" fontId="9" fillId="2" borderId="0" xfId="2" applyNumberFormat="1" applyFont="1" applyFill="1"/>
    <xf numFmtId="4" fontId="9" fillId="2" borderId="0" xfId="3" applyFont="1" applyFill="1"/>
    <xf numFmtId="4" fontId="9" fillId="2" borderId="0" xfId="2" applyNumberFormat="1" applyFont="1" applyFill="1" applyBorder="1"/>
    <xf numFmtId="3" fontId="10" fillId="2" borderId="0" xfId="2" applyNumberFormat="1" applyFont="1" applyFill="1"/>
    <xf numFmtId="3" fontId="9" fillId="2" borderId="0" xfId="2" applyNumberFormat="1" applyFont="1" applyFill="1" applyBorder="1"/>
    <xf numFmtId="4" fontId="10" fillId="2" borderId="0" xfId="2" applyNumberFormat="1" applyFont="1" applyFill="1" applyBorder="1"/>
    <xf numFmtId="4" fontId="9" fillId="2" borderId="4" xfId="2" applyNumberFormat="1" applyFont="1" applyFill="1" applyBorder="1"/>
    <xf numFmtId="4" fontId="9" fillId="2" borderId="0" xfId="3" applyFont="1" applyFill="1" applyBorder="1"/>
    <xf numFmtId="4" fontId="9" fillId="2" borderId="18" xfId="2" applyNumberFormat="1" applyFont="1" applyFill="1" applyBorder="1"/>
    <xf numFmtId="3" fontId="10" fillId="2" borderId="4" xfId="2" applyNumberFormat="1" applyFont="1" applyFill="1" applyBorder="1"/>
    <xf numFmtId="3" fontId="9" fillId="2" borderId="4" xfId="2" applyNumberFormat="1" applyFont="1" applyFill="1" applyBorder="1"/>
    <xf numFmtId="4" fontId="10" fillId="2" borderId="2" xfId="2" applyNumberFormat="1" applyFont="1" applyFill="1" applyBorder="1" applyAlignment="1">
      <alignment vertical="center" wrapText="1"/>
    </xf>
    <xf numFmtId="4" fontId="9" fillId="2" borderId="10" xfId="2" applyNumberFormat="1" applyFont="1" applyFill="1" applyBorder="1"/>
    <xf numFmtId="4" fontId="10" fillId="2" borderId="21" xfId="2" applyNumberFormat="1" applyFont="1" applyFill="1" applyBorder="1" applyAlignment="1">
      <alignment vertical="center"/>
    </xf>
    <xf numFmtId="4" fontId="9" fillId="2" borderId="0" xfId="2" applyNumberFormat="1" applyFont="1" applyFill="1"/>
    <xf numFmtId="4" fontId="10" fillId="2" borderId="0" xfId="2" applyNumberFormat="1" applyFont="1" applyFill="1"/>
    <xf numFmtId="4" fontId="10" fillId="2" borderId="0" xfId="3" applyFont="1" applyFill="1"/>
    <xf numFmtId="0" fontId="20" fillId="2" borderId="0" xfId="2" applyFont="1" applyFill="1" applyAlignment="1">
      <alignment vertical="center" wrapText="1"/>
    </xf>
    <xf numFmtId="0" fontId="8" fillId="2" borderId="0" xfId="2" applyFill="1" applyAlignment="1">
      <alignment horizontal="center" vertical="center" wrapText="1"/>
    </xf>
    <xf numFmtId="0" fontId="19" fillId="2" borderId="0" xfId="4" applyFill="1"/>
    <xf numFmtId="2" fontId="10" fillId="2" borderId="1" xfId="2" applyNumberFormat="1" applyFont="1" applyFill="1" applyBorder="1"/>
    <xf numFmtId="0" fontId="10" fillId="19" borderId="7" xfId="2" applyFont="1" applyFill="1" applyBorder="1" applyAlignment="1">
      <alignment wrapText="1"/>
    </xf>
    <xf numFmtId="4" fontId="0" fillId="0" borderId="0" xfId="0" applyNumberFormat="1" applyBorder="1"/>
    <xf numFmtId="0" fontId="10" fillId="18" borderId="1" xfId="2" applyFont="1" applyFill="1" applyBorder="1" applyAlignment="1">
      <alignment horizontal="center"/>
    </xf>
    <xf numFmtId="0" fontId="10" fillId="18" borderId="1" xfId="2" applyFont="1" applyFill="1" applyBorder="1"/>
    <xf numFmtId="4" fontId="10" fillId="18" borderId="1" xfId="2" applyNumberFormat="1" applyFont="1" applyFill="1" applyBorder="1"/>
    <xf numFmtId="43" fontId="10" fillId="18" borderId="1" xfId="1" applyFont="1" applyFill="1" applyBorder="1"/>
    <xf numFmtId="43" fontId="9" fillId="18" borderId="1" xfId="1" applyFont="1" applyFill="1" applyBorder="1"/>
    <xf numFmtId="4" fontId="14" fillId="18" borderId="1" xfId="2" applyNumberFormat="1" applyFont="1" applyFill="1" applyBorder="1" applyAlignment="1">
      <alignment wrapText="1"/>
    </xf>
    <xf numFmtId="3" fontId="10" fillId="18" borderId="1" xfId="2" applyNumberFormat="1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4" fontId="0" fillId="0" borderId="14" xfId="0" applyNumberFormat="1" applyBorder="1"/>
    <xf numFmtId="3" fontId="0" fillId="0" borderId="0" xfId="0" applyNumberFormat="1"/>
    <xf numFmtId="3" fontId="33" fillId="0" borderId="0" xfId="8" applyNumberFormat="1"/>
    <xf numFmtId="169" fontId="0" fillId="5" borderId="1" xfId="7" applyFont="1" applyFill="1" applyBorder="1"/>
    <xf numFmtId="170" fontId="0" fillId="0" borderId="1" xfId="7" applyNumberFormat="1" applyFont="1" applyBorder="1"/>
    <xf numFmtId="167" fontId="21" fillId="5" borderId="1" xfId="8" applyNumberFormat="1" applyFont="1" applyFill="1" applyBorder="1"/>
    <xf numFmtId="0" fontId="19" fillId="0" borderId="1" xfId="8" applyFont="1" applyBorder="1" applyAlignment="1">
      <alignment vertical="center" wrapText="1"/>
    </xf>
    <xf numFmtId="4" fontId="21" fillId="0" borderId="6" xfId="8" applyNumberFormat="1" applyFont="1" applyBorder="1" applyAlignment="1">
      <alignment vertical="center"/>
    </xf>
    <xf numFmtId="4" fontId="21" fillId="0" borderId="6" xfId="8" applyNumberFormat="1" applyFont="1" applyBorder="1" applyAlignment="1">
      <alignment vertical="center" wrapText="1"/>
    </xf>
    <xf numFmtId="168" fontId="26" fillId="5" borderId="1" xfId="8" applyNumberFormat="1" applyFont="1" applyFill="1" applyBorder="1"/>
    <xf numFmtId="0" fontId="19" fillId="0" borderId="0" xfId="4" applyBorder="1" applyAlignment="1">
      <alignment horizontal="left" vertical="center" wrapText="1"/>
    </xf>
    <xf numFmtId="0" fontId="8" fillId="0" borderId="0" xfId="2" applyBorder="1" applyAlignment="1">
      <alignment horizontal="left" vertical="center" wrapText="1"/>
    </xf>
    <xf numFmtId="0" fontId="8" fillId="0" borderId="0" xfId="2" applyBorder="1" applyAlignment="1">
      <alignment vertical="center" wrapText="1"/>
    </xf>
    <xf numFmtId="0" fontId="38" fillId="2" borderId="0" xfId="4" applyFont="1" applyFill="1" applyBorder="1" applyAlignment="1">
      <alignment vertical="center" wrapText="1"/>
    </xf>
    <xf numFmtId="0" fontId="38" fillId="2" borderId="0" xfId="4" applyFont="1" applyFill="1" applyBorder="1"/>
    <xf numFmtId="43" fontId="9" fillId="0" borderId="0" xfId="1" applyFont="1" applyFill="1"/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2" fillId="0" borderId="14" xfId="0" applyFont="1" applyBorder="1" applyAlignment="1">
      <alignment horizontal="center"/>
    </xf>
    <xf numFmtId="4" fontId="0" fillId="0" borderId="1" xfId="0" applyNumberFormat="1" applyBorder="1" applyAlignment="1">
      <alignment vertical="center"/>
    </xf>
    <xf numFmtId="4" fontId="10" fillId="2" borderId="1" xfId="3" applyFont="1" applyFill="1" applyBorder="1"/>
    <xf numFmtId="0" fontId="10" fillId="0" borderId="1" xfId="2" applyFont="1" applyBorder="1" applyAlignment="1">
      <alignment horizontal="center" wrapText="1"/>
    </xf>
    <xf numFmtId="0" fontId="10" fillId="2" borderId="8" xfId="2" applyFont="1" applyFill="1" applyBorder="1"/>
    <xf numFmtId="0" fontId="10" fillId="0" borderId="8" xfId="2" applyFont="1" applyBorder="1" applyAlignment="1">
      <alignment horizontal="center"/>
    </xf>
    <xf numFmtId="0" fontId="10" fillId="0" borderId="8" xfId="2" applyFont="1" applyBorder="1"/>
    <xf numFmtId="0" fontId="10" fillId="0" borderId="6" xfId="2" applyFont="1" applyFill="1" applyBorder="1"/>
    <xf numFmtId="0" fontId="10" fillId="0" borderId="8" xfId="2" applyFont="1" applyFill="1" applyBorder="1" applyAlignment="1">
      <alignment horizontal="center"/>
    </xf>
    <xf numFmtId="0" fontId="10" fillId="0" borderId="8" xfId="2" applyFont="1" applyFill="1" applyBorder="1"/>
    <xf numFmtId="0" fontId="10" fillId="2" borderId="7" xfId="2" applyFont="1" applyFill="1" applyBorder="1"/>
    <xf numFmtId="1" fontId="10" fillId="19" borderId="2" xfId="2" applyNumberFormat="1" applyFont="1" applyFill="1" applyBorder="1" applyAlignment="1">
      <alignment horizontal="center"/>
    </xf>
    <xf numFmtId="0" fontId="10" fillId="19" borderId="2" xfId="2" applyFont="1" applyFill="1" applyBorder="1" applyAlignment="1">
      <alignment horizontal="center"/>
    </xf>
    <xf numFmtId="0" fontId="10" fillId="19" borderId="2" xfId="2" applyNumberFormat="1" applyFont="1" applyFill="1" applyBorder="1"/>
    <xf numFmtId="4" fontId="10" fillId="19" borderId="2" xfId="2" applyNumberFormat="1" applyFont="1" applyFill="1" applyBorder="1" applyAlignment="1">
      <alignment horizontal="center"/>
    </xf>
    <xf numFmtId="4" fontId="10" fillId="19" borderId="2" xfId="2" applyNumberFormat="1" applyFont="1" applyFill="1" applyBorder="1"/>
    <xf numFmtId="4" fontId="10" fillId="18" borderId="1" xfId="2" applyNumberFormat="1" applyFont="1" applyFill="1" applyBorder="1" applyAlignment="1">
      <alignment vertical="center"/>
    </xf>
    <xf numFmtId="4" fontId="10" fillId="18" borderId="2" xfId="2" applyNumberFormat="1" applyFont="1" applyFill="1" applyBorder="1"/>
    <xf numFmtId="12" fontId="10" fillId="19" borderId="2" xfId="2" applyNumberFormat="1" applyFont="1" applyFill="1" applyBorder="1" applyAlignment="1">
      <alignment horizontal="center"/>
    </xf>
    <xf numFmtId="0" fontId="16" fillId="19" borderId="2" xfId="2" applyNumberFormat="1" applyFont="1" applyFill="1" applyBorder="1"/>
    <xf numFmtId="0" fontId="10" fillId="19" borderId="2" xfId="2" applyFont="1" applyFill="1" applyBorder="1" applyAlignment="1">
      <alignment horizontal="center" vertical="center"/>
    </xf>
    <xf numFmtId="4" fontId="10" fillId="19" borderId="6" xfId="2" applyNumberFormat="1" applyFont="1" applyFill="1" applyBorder="1" applyAlignment="1">
      <alignment horizontal="center" vertical="center"/>
    </xf>
    <xf numFmtId="4" fontId="10" fillId="19" borderId="1" xfId="2" applyNumberFormat="1" applyFont="1" applyFill="1" applyBorder="1" applyAlignment="1">
      <alignment vertical="center"/>
    </xf>
    <xf numFmtId="1" fontId="10" fillId="19" borderId="1" xfId="2" applyNumberFormat="1" applyFont="1" applyFill="1" applyBorder="1"/>
    <xf numFmtId="0" fontId="10" fillId="19" borderId="1" xfId="2" applyFont="1" applyFill="1" applyBorder="1" applyAlignment="1">
      <alignment horizontal="center"/>
    </xf>
    <xf numFmtId="0" fontId="10" fillId="19" borderId="1" xfId="2" applyNumberFormat="1" applyFont="1" applyFill="1" applyBorder="1"/>
    <xf numFmtId="4" fontId="10" fillId="19" borderId="1" xfId="2" applyNumberFormat="1" applyFont="1" applyFill="1" applyBorder="1" applyAlignment="1">
      <alignment horizontal="center"/>
    </xf>
    <xf numFmtId="4" fontId="10" fillId="19" borderId="1" xfId="2" applyNumberFormat="1" applyFont="1" applyFill="1" applyBorder="1"/>
    <xf numFmtId="1" fontId="10" fillId="18" borderId="1" xfId="2" applyNumberFormat="1" applyFont="1" applyFill="1" applyBorder="1"/>
    <xf numFmtId="0" fontId="10" fillId="18" borderId="1" xfId="2" applyNumberFormat="1" applyFont="1" applyFill="1" applyBorder="1"/>
    <xf numFmtId="4" fontId="10" fillId="18" borderId="1" xfId="2" applyNumberFormat="1" applyFont="1" applyFill="1" applyBorder="1" applyAlignment="1">
      <alignment horizontal="center"/>
    </xf>
    <xf numFmtId="4" fontId="10" fillId="18" borderId="6" xfId="2" applyNumberFormat="1" applyFont="1" applyFill="1" applyBorder="1"/>
    <xf numFmtId="4" fontId="10" fillId="18" borderId="14" xfId="2" applyNumberFormat="1" applyFont="1" applyFill="1" applyBorder="1"/>
    <xf numFmtId="4" fontId="10" fillId="18" borderId="5" xfId="2" applyNumberFormat="1" applyFont="1" applyFill="1" applyBorder="1"/>
    <xf numFmtId="1" fontId="10" fillId="19" borderId="7" xfId="2" applyNumberFormat="1" applyFont="1" applyFill="1" applyBorder="1"/>
    <xf numFmtId="0" fontId="10" fillId="19" borderId="7" xfId="2" applyFont="1" applyFill="1" applyBorder="1" applyAlignment="1">
      <alignment horizontal="center"/>
    </xf>
    <xf numFmtId="0" fontId="10" fillId="19" borderId="7" xfId="2" applyNumberFormat="1" applyFont="1" applyFill="1" applyBorder="1"/>
    <xf numFmtId="4" fontId="10" fillId="19" borderId="7" xfId="2" applyNumberFormat="1" applyFont="1" applyFill="1" applyBorder="1"/>
    <xf numFmtId="0" fontId="10" fillId="18" borderId="7" xfId="2" applyFont="1" applyFill="1" applyBorder="1" applyAlignment="1">
      <alignment wrapText="1"/>
    </xf>
    <xf numFmtId="1" fontId="10" fillId="18" borderId="7" xfId="2" applyNumberFormat="1" applyFont="1" applyFill="1" applyBorder="1"/>
    <xf numFmtId="0" fontId="10" fillId="18" borderId="7" xfId="2" applyFont="1" applyFill="1" applyBorder="1" applyAlignment="1">
      <alignment horizontal="center"/>
    </xf>
    <xf numFmtId="0" fontId="10" fillId="18" borderId="7" xfId="2" applyNumberFormat="1" applyFont="1" applyFill="1" applyBorder="1"/>
    <xf numFmtId="4" fontId="10" fillId="18" borderId="7" xfId="2" applyNumberFormat="1" applyFont="1" applyFill="1" applyBorder="1"/>
    <xf numFmtId="4" fontId="9" fillId="2" borderId="3" xfId="2" applyNumberFormat="1" applyFont="1" applyFill="1" applyBorder="1"/>
    <xf numFmtId="0" fontId="41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9" fontId="2" fillId="0" borderId="1" xfId="1" applyNumberFormat="1" applyFont="1" applyFill="1" applyBorder="1" applyAlignment="1">
      <alignment horizontal="center" vertical="center"/>
    </xf>
    <xf numFmtId="9" fontId="42" fillId="0" borderId="1" xfId="1" applyNumberFormat="1" applyFont="1" applyBorder="1" applyAlignment="1">
      <alignment horizontal="center" vertical="center"/>
    </xf>
    <xf numFmtId="9" fontId="42" fillId="0" borderId="1" xfId="1" applyNumberFormat="1" applyFont="1" applyBorder="1" applyAlignment="1">
      <alignment horizontal="center" vertical="center" wrapText="1"/>
    </xf>
    <xf numFmtId="43" fontId="43" fillId="20" borderId="1" xfId="1" applyFont="1" applyFill="1" applyBorder="1" applyAlignment="1">
      <alignment horizontal="center" vertical="center" wrapText="1"/>
    </xf>
    <xf numFmtId="9" fontId="44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2" fillId="0" borderId="0" xfId="0" applyFont="1"/>
    <xf numFmtId="43" fontId="0" fillId="0" borderId="14" xfId="1" applyFont="1" applyBorder="1" applyAlignment="1">
      <alignment horizontal="center"/>
    </xf>
    <xf numFmtId="49" fontId="0" fillId="0" borderId="14" xfId="1" applyNumberFormat="1" applyFont="1" applyBorder="1" applyAlignment="1">
      <alignment horizontal="center"/>
    </xf>
    <xf numFmtId="9" fontId="0" fillId="0" borderId="1" xfId="1" applyNumberFormat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Fill="1"/>
    <xf numFmtId="0" fontId="0" fillId="0" borderId="7" xfId="0" applyFill="1" applyBorder="1"/>
    <xf numFmtId="0" fontId="0" fillId="0" borderId="1" xfId="0" applyBorder="1" applyAlignment="1">
      <alignment horizontal="center" vertical="center"/>
    </xf>
    <xf numFmtId="0" fontId="45" fillId="0" borderId="14" xfId="0" applyFont="1" applyBorder="1"/>
    <xf numFmtId="0" fontId="2" fillId="0" borderId="14" xfId="0" applyFont="1" applyBorder="1"/>
    <xf numFmtId="43" fontId="0" fillId="0" borderId="14" xfId="1" applyFont="1" applyBorder="1"/>
    <xf numFmtId="43" fontId="37" fillId="0" borderId="14" xfId="1" applyFont="1" applyBorder="1"/>
    <xf numFmtId="43" fontId="0" fillId="0" borderId="1" xfId="1" applyFont="1" applyFill="1" applyBorder="1"/>
    <xf numFmtId="43" fontId="46" fillId="0" borderId="1" xfId="1" applyFont="1" applyBorder="1"/>
    <xf numFmtId="43" fontId="44" fillId="0" borderId="1" xfId="1" applyFont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45" fillId="0" borderId="14" xfId="0" applyFont="1" applyFill="1" applyBorder="1"/>
    <xf numFmtId="0" fontId="0" fillId="0" borderId="14" xfId="0" applyFill="1" applyBorder="1"/>
    <xf numFmtId="0" fontId="2" fillId="0" borderId="14" xfId="0" applyFont="1" applyFill="1" applyBorder="1"/>
    <xf numFmtId="43" fontId="0" fillId="0" borderId="14" xfId="1" applyFont="1" applyFill="1" applyBorder="1"/>
    <xf numFmtId="43" fontId="37" fillId="0" borderId="14" xfId="1" applyFont="1" applyFill="1" applyBorder="1"/>
    <xf numFmtId="43" fontId="46" fillId="0" borderId="1" xfId="1" applyFont="1" applyFill="1" applyBorder="1"/>
    <xf numFmtId="43" fontId="44" fillId="0" borderId="1" xfId="1" applyFont="1" applyFill="1" applyBorder="1"/>
    <xf numFmtId="0" fontId="2" fillId="0" borderId="0" xfId="0" applyFont="1" applyBorder="1" applyAlignment="1">
      <alignment horizontal="center" vertical="center"/>
    </xf>
    <xf numFmtId="0" fontId="47" fillId="0" borderId="0" xfId="0" applyFont="1" applyBorder="1"/>
    <xf numFmtId="0" fontId="2" fillId="0" borderId="0" xfId="0" applyFont="1" applyBorder="1"/>
    <xf numFmtId="43" fontId="2" fillId="0" borderId="0" xfId="1" applyFont="1" applyBorder="1"/>
    <xf numFmtId="43" fontId="48" fillId="0" borderId="0" xfId="1" applyFont="1" applyBorder="1"/>
    <xf numFmtId="43" fontId="2" fillId="0" borderId="1" xfId="1" applyFont="1" applyBorder="1"/>
    <xf numFmtId="43" fontId="2" fillId="0" borderId="1" xfId="1" applyFont="1" applyFill="1" applyBorder="1"/>
    <xf numFmtId="43" fontId="42" fillId="0" borderId="0" xfId="1" applyFont="1" applyBorder="1"/>
    <xf numFmtId="43" fontId="46" fillId="0" borderId="0" xfId="1" applyFont="1" applyBorder="1"/>
    <xf numFmtId="43" fontId="44" fillId="0" borderId="1" xfId="0" applyNumberFormat="1" applyFont="1" applyBorder="1"/>
    <xf numFmtId="43" fontId="2" fillId="21" borderId="1" xfId="0" applyNumberFormat="1" applyFont="1" applyFill="1" applyBorder="1"/>
    <xf numFmtId="43" fontId="2" fillId="0" borderId="0" xfId="0" applyNumberFormat="1" applyFont="1" applyFill="1"/>
    <xf numFmtId="17" fontId="44" fillId="0" borderId="0" xfId="0" applyNumberFormat="1" applyFont="1" applyFill="1" applyAlignment="1">
      <alignment horizontal="left"/>
    </xf>
    <xf numFmtId="43" fontId="2" fillId="0" borderId="1" xfId="0" applyNumberFormat="1" applyFont="1" applyFill="1" applyBorder="1"/>
    <xf numFmtId="0" fontId="2" fillId="0" borderId="0" xfId="0" applyFont="1" applyFill="1"/>
    <xf numFmtId="0" fontId="0" fillId="0" borderId="7" xfId="0" applyFill="1" applyBorder="1" applyAlignment="1">
      <alignment horizontal="center" vertical="center"/>
    </xf>
    <xf numFmtId="43" fontId="2" fillId="0" borderId="0" xfId="1" applyFont="1" applyFill="1" applyBorder="1"/>
    <xf numFmtId="43" fontId="42" fillId="0" borderId="0" xfId="1" applyFont="1" applyFill="1" applyBorder="1"/>
    <xf numFmtId="43" fontId="46" fillId="0" borderId="0" xfId="1" applyFont="1" applyFill="1" applyBorder="1"/>
    <xf numFmtId="43" fontId="44" fillId="0" borderId="0" xfId="1" applyFont="1" applyFill="1" applyBorder="1"/>
    <xf numFmtId="43" fontId="2" fillId="0" borderId="0" xfId="1" applyFont="1" applyFill="1"/>
    <xf numFmtId="0" fontId="0" fillId="0" borderId="1" xfId="0" applyFont="1" applyBorder="1" applyAlignment="1">
      <alignment horizontal="center" vertical="center"/>
    </xf>
    <xf numFmtId="0" fontId="45" fillId="0" borderId="1" xfId="0" applyFont="1" applyBorder="1"/>
    <xf numFmtId="0" fontId="0" fillId="0" borderId="1" xfId="0" applyFont="1" applyBorder="1"/>
    <xf numFmtId="43" fontId="1" fillId="0" borderId="1" xfId="1" applyFont="1" applyFill="1" applyBorder="1"/>
    <xf numFmtId="43" fontId="2" fillId="21" borderId="1" xfId="1" applyFont="1" applyFill="1" applyBorder="1"/>
    <xf numFmtId="43" fontId="42" fillId="0" borderId="1" xfId="1" applyFont="1" applyBorder="1"/>
    <xf numFmtId="43" fontId="46" fillId="0" borderId="14" xfId="1" applyFont="1" applyBorder="1"/>
    <xf numFmtId="43" fontId="2" fillId="0" borderId="0" xfId="0" applyNumberFormat="1" applyFont="1" applyBorder="1"/>
    <xf numFmtId="0" fontId="0" fillId="0" borderId="0" xfId="0" applyFont="1" applyBorder="1" applyAlignment="1">
      <alignment horizontal="center" vertical="center"/>
    </xf>
    <xf numFmtId="0" fontId="45" fillId="0" borderId="0" xfId="0" applyFont="1" applyBorder="1"/>
    <xf numFmtId="0" fontId="0" fillId="0" borderId="0" xfId="0" applyFont="1" applyBorder="1"/>
    <xf numFmtId="43" fontId="2" fillId="0" borderId="14" xfId="1" applyFont="1" applyFill="1" applyBorder="1"/>
    <xf numFmtId="0" fontId="44" fillId="0" borderId="0" xfId="0" applyFont="1" applyFill="1" applyAlignment="1">
      <alignment horizontal="left"/>
    </xf>
    <xf numFmtId="43" fontId="44" fillId="0" borderId="0" xfId="1" applyFont="1" applyBorder="1"/>
    <xf numFmtId="0" fontId="0" fillId="0" borderId="1" xfId="0" applyFont="1" applyFill="1" applyBorder="1"/>
    <xf numFmtId="43" fontId="49" fillId="0" borderId="14" xfId="1" applyFont="1" applyFill="1" applyBorder="1"/>
    <xf numFmtId="43" fontId="50" fillId="0" borderId="0" xfId="1" applyFont="1" applyFill="1" applyBorder="1"/>
    <xf numFmtId="43" fontId="0" fillId="0" borderId="0" xfId="0" applyNumberFormat="1" applyBorder="1"/>
    <xf numFmtId="43" fontId="51" fillId="0" borderId="1" xfId="1" applyFont="1" applyFill="1" applyBorder="1"/>
    <xf numFmtId="43" fontId="46" fillId="0" borderId="5" xfId="1" applyFont="1" applyBorder="1"/>
    <xf numFmtId="43" fontId="0" fillId="0" borderId="1" xfId="0" applyNumberFormat="1" applyFont="1" applyFill="1" applyBorder="1"/>
    <xf numFmtId="0" fontId="0" fillId="0" borderId="0" xfId="0" applyFont="1"/>
    <xf numFmtId="0" fontId="47" fillId="0" borderId="0" xfId="0" applyFont="1"/>
    <xf numFmtId="43" fontId="48" fillId="0" borderId="0" xfId="1" applyFont="1"/>
    <xf numFmtId="43" fontId="44" fillId="0" borderId="5" xfId="1" applyFont="1" applyBorder="1"/>
    <xf numFmtId="43" fontId="2" fillId="20" borderId="1" xfId="1" applyFont="1" applyFill="1" applyBorder="1"/>
    <xf numFmtId="0" fontId="45" fillId="0" borderId="0" xfId="0" applyFont="1"/>
    <xf numFmtId="43" fontId="37" fillId="0" borderId="0" xfId="1" applyFont="1"/>
    <xf numFmtId="43" fontId="0" fillId="0" borderId="0" xfId="1" applyFont="1" applyFill="1"/>
    <xf numFmtId="43" fontId="44" fillId="0" borderId="0" xfId="1" applyFont="1" applyFill="1"/>
    <xf numFmtId="43" fontId="42" fillId="0" borderId="0" xfId="1" applyFont="1"/>
    <xf numFmtId="4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2" fillId="0" borderId="1" xfId="0" applyNumberFormat="1" applyFont="1" applyBorder="1"/>
    <xf numFmtId="43" fontId="0" fillId="0" borderId="0" xfId="1" applyFont="1" applyBorder="1"/>
    <xf numFmtId="43" fontId="48" fillId="0" borderId="1" xfId="1" applyFont="1" applyBorder="1"/>
    <xf numFmtId="43" fontId="2" fillId="20" borderId="7" xfId="1" applyFont="1" applyFill="1" applyBorder="1"/>
    <xf numFmtId="43" fontId="44" fillId="0" borderId="0" xfId="1" applyFont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4" fontId="2" fillId="0" borderId="1" xfId="0" applyNumberFormat="1" applyFont="1" applyBorder="1"/>
    <xf numFmtId="46" fontId="2" fillId="0" borderId="1" xfId="0" applyNumberFormat="1" applyFont="1" applyFill="1" applyBorder="1" applyAlignment="1" applyProtection="1">
      <alignment horizontal="left"/>
    </xf>
    <xf numFmtId="0" fontId="0" fillId="2" borderId="1" xfId="0" applyFill="1" applyBorder="1" applyAlignment="1">
      <alignment vertical="center" wrapText="1"/>
    </xf>
    <xf numFmtId="43" fontId="0" fillId="2" borderId="1" xfId="1" applyFont="1" applyFill="1" applyBorder="1"/>
    <xf numFmtId="0" fontId="2" fillId="2" borderId="0" xfId="0" applyFont="1" applyFill="1"/>
    <xf numFmtId="4" fontId="0" fillId="2" borderId="1" xfId="0" applyNumberFormat="1" applyFill="1" applyBorder="1"/>
    <xf numFmtId="44" fontId="2" fillId="2" borderId="1" xfId="5" applyFont="1" applyFill="1" applyBorder="1"/>
    <xf numFmtId="44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43" fontId="0" fillId="2" borderId="0" xfId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3" fontId="0" fillId="2" borderId="1" xfId="0" applyNumberFormat="1" applyFill="1" applyBorder="1" applyAlignment="1">
      <alignment wrapText="1"/>
    </xf>
    <xf numFmtId="0" fontId="10" fillId="2" borderId="7" xfId="2" applyFont="1" applyFill="1" applyBorder="1" applyAlignment="1">
      <alignment horizontal="center" vertical="center"/>
    </xf>
    <xf numFmtId="0" fontId="19" fillId="0" borderId="0" xfId="6" applyAlignment="1" applyProtection="1">
      <alignment vertical="center" wrapText="1"/>
      <protection locked="0"/>
    </xf>
    <xf numFmtId="0" fontId="10" fillId="2" borderId="0" xfId="2" applyFont="1" applyFill="1" applyBorder="1" applyAlignment="1">
      <alignment horizontal="center"/>
    </xf>
    <xf numFmtId="4" fontId="8" fillId="12" borderId="1" xfId="2" applyNumberFormat="1" applyFill="1" applyBorder="1" applyAlignment="1">
      <alignment horizontal="center" vertical="center" wrapText="1"/>
    </xf>
    <xf numFmtId="0" fontId="8" fillId="12" borderId="1" xfId="2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/>
    </xf>
    <xf numFmtId="4" fontId="8" fillId="12" borderId="14" xfId="2" applyNumberFormat="1" applyFill="1" applyBorder="1" applyAlignment="1">
      <alignment horizontal="center" vertical="center" wrapText="1"/>
    </xf>
    <xf numFmtId="4" fontId="8" fillId="12" borderId="5" xfId="2" applyNumberForma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vertical="center" wrapText="1"/>
    </xf>
    <xf numFmtId="1" fontId="10" fillId="2" borderId="7" xfId="2" applyNumberFormat="1" applyFont="1" applyFill="1" applyBorder="1" applyAlignment="1">
      <alignment vertical="center"/>
    </xf>
    <xf numFmtId="0" fontId="10" fillId="2" borderId="7" xfId="2" applyNumberFormat="1" applyFont="1" applyFill="1" applyBorder="1" applyAlignment="1">
      <alignment vertical="center"/>
    </xf>
    <xf numFmtId="4" fontId="10" fillId="2" borderId="7" xfId="2" applyNumberFormat="1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vertical="center"/>
    </xf>
    <xf numFmtId="0" fontId="10" fillId="5" borderId="2" xfId="2" applyFont="1" applyFill="1" applyBorder="1" applyAlignment="1">
      <alignment vertical="center" wrapText="1"/>
    </xf>
    <xf numFmtId="0" fontId="10" fillId="5" borderId="0" xfId="2" applyFont="1" applyFill="1" applyBorder="1" applyAlignment="1">
      <alignment horizontal="center"/>
    </xf>
    <xf numFmtId="0" fontId="10" fillId="5" borderId="2" xfId="2" applyFont="1" applyFill="1" applyBorder="1" applyAlignment="1">
      <alignment vertical="center"/>
    </xf>
    <xf numFmtId="12" fontId="10" fillId="5" borderId="2" xfId="2" applyNumberFormat="1" applyFont="1" applyFill="1" applyBorder="1" applyAlignment="1">
      <alignment horizontal="center"/>
    </xf>
    <xf numFmtId="0" fontId="16" fillId="5" borderId="2" xfId="2" applyNumberFormat="1" applyFont="1" applyFill="1" applyBorder="1"/>
    <xf numFmtId="0" fontId="10" fillId="5" borderId="2" xfId="2" applyFont="1" applyFill="1" applyBorder="1" applyAlignment="1">
      <alignment horizontal="center" vertical="center"/>
    </xf>
    <xf numFmtId="4" fontId="10" fillId="5" borderId="6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vertical="center"/>
    </xf>
    <xf numFmtId="3" fontId="9" fillId="5" borderId="14" xfId="2" applyNumberFormat="1" applyFont="1" applyFill="1" applyBorder="1"/>
    <xf numFmtId="3" fontId="17" fillId="5" borderId="1" xfId="2" applyNumberFormat="1" applyFont="1" applyFill="1" applyBorder="1" applyAlignment="1">
      <alignment wrapText="1"/>
    </xf>
    <xf numFmtId="3" fontId="10" fillId="5" borderId="2" xfId="2" applyNumberFormat="1" applyFont="1" applyFill="1" applyBorder="1"/>
    <xf numFmtId="0" fontId="32" fillId="2" borderId="1" xfId="8" applyFont="1" applyFill="1" applyBorder="1" applyAlignment="1">
      <alignment horizontal="left" vertical="center"/>
    </xf>
    <xf numFmtId="167" fontId="32" fillId="2" borderId="1" xfId="8" applyNumberFormat="1" applyFont="1" applyFill="1" applyBorder="1" applyAlignment="1">
      <alignment horizontal="left"/>
    </xf>
    <xf numFmtId="2" fontId="33" fillId="2" borderId="1" xfId="8" applyNumberFormat="1" applyFill="1" applyBorder="1" applyAlignment="1">
      <alignment horizontal="left" indent="2"/>
    </xf>
    <xf numFmtId="168" fontId="33" fillId="2" borderId="1" xfId="8" applyNumberFormat="1" applyFill="1" applyBorder="1"/>
    <xf numFmtId="169" fontId="33" fillId="2" borderId="48" xfId="7" applyFont="1" applyFill="1" applyBorder="1"/>
    <xf numFmtId="170" fontId="33" fillId="2" borderId="48" xfId="7" applyNumberFormat="1" applyFont="1" applyFill="1" applyBorder="1"/>
    <xf numFmtId="2" fontId="19" fillId="2" borderId="1" xfId="8" applyNumberFormat="1" applyFont="1" applyFill="1" applyBorder="1" applyAlignment="1"/>
    <xf numFmtId="168" fontId="33" fillId="2" borderId="6" xfId="8" applyNumberFormat="1" applyFill="1" applyBorder="1"/>
    <xf numFmtId="167" fontId="33" fillId="2" borderId="0" xfId="8" applyNumberFormat="1" applyFill="1"/>
    <xf numFmtId="0" fontId="33" fillId="2" borderId="0" xfId="8" applyFill="1"/>
    <xf numFmtId="169" fontId="0" fillId="2" borderId="48" xfId="7" applyFont="1" applyFill="1" applyBorder="1"/>
    <xf numFmtId="0" fontId="19" fillId="0" borderId="0" xfId="2" applyFont="1" applyAlignment="1" applyProtection="1">
      <alignment horizontal="center" vertical="center"/>
      <protection locked="0"/>
    </xf>
    <xf numFmtId="0" fontId="19" fillId="0" borderId="1" xfId="0" applyFont="1" applyBorder="1"/>
    <xf numFmtId="168" fontId="27" fillId="0" borderId="1" xfId="2" applyNumberFormat="1" applyFont="1" applyFill="1" applyBorder="1" applyAlignment="1" applyProtection="1">
      <alignment horizontal="center" vertical="center"/>
      <protection hidden="1"/>
    </xf>
    <xf numFmtId="0" fontId="19" fillId="0" borderId="0" xfId="2" applyFont="1" applyProtection="1">
      <protection locked="0"/>
    </xf>
    <xf numFmtId="0" fontId="19" fillId="0" borderId="1" xfId="0" applyFont="1" applyBorder="1" applyAlignment="1">
      <alignment wrapText="1"/>
    </xf>
    <xf numFmtId="0" fontId="19" fillId="0" borderId="0" xfId="2" applyFont="1" applyAlignment="1" applyProtection="1">
      <alignment wrapText="1"/>
      <protection locked="0"/>
    </xf>
    <xf numFmtId="168" fontId="38" fillId="2" borderId="0" xfId="2" applyNumberFormat="1" applyFont="1" applyFill="1" applyProtection="1">
      <protection locked="0"/>
    </xf>
    <xf numFmtId="0" fontId="38" fillId="2" borderId="0" xfId="2" applyFont="1" applyFill="1" applyProtection="1">
      <protection locked="0"/>
    </xf>
    <xf numFmtId="10" fontId="27" fillId="0" borderId="1" xfId="2" applyNumberFormat="1" applyFont="1" applyFill="1" applyBorder="1" applyAlignment="1" applyProtection="1">
      <alignment horizontal="center" vertical="center"/>
      <protection hidden="1"/>
    </xf>
    <xf numFmtId="10" fontId="52" fillId="2" borderId="1" xfId="2" applyNumberFormat="1" applyFont="1" applyFill="1" applyBorder="1" applyAlignment="1" applyProtection="1">
      <alignment horizontal="center" vertical="center"/>
      <protection hidden="1"/>
    </xf>
    <xf numFmtId="3" fontId="27" fillId="0" borderId="1" xfId="2" applyNumberFormat="1" applyFont="1" applyFill="1" applyBorder="1" applyAlignment="1" applyProtection="1">
      <alignment horizontal="center" vertical="center"/>
      <protection hidden="1"/>
    </xf>
    <xf numFmtId="4" fontId="27" fillId="0" borderId="1" xfId="2" applyNumberFormat="1" applyFont="1" applyFill="1" applyBorder="1" applyAlignment="1" applyProtection="1">
      <alignment horizontal="center" vertical="center"/>
      <protection hidden="1"/>
    </xf>
    <xf numFmtId="168" fontId="27" fillId="0" borderId="6" xfId="2" applyNumberFormat="1" applyFont="1" applyFill="1" applyBorder="1" applyAlignment="1" applyProtection="1">
      <alignment horizontal="center" vertical="center"/>
      <protection hidden="1"/>
    </xf>
    <xf numFmtId="0" fontId="27" fillId="0" borderId="1" xfId="2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9" fillId="2" borderId="0" xfId="0" applyFont="1" applyFill="1" applyAlignment="1">
      <alignment wrapText="1"/>
    </xf>
    <xf numFmtId="1" fontId="10" fillId="18" borderId="1" xfId="2" applyNumberFormat="1" applyFont="1" applyFill="1" applyBorder="1" applyAlignment="1">
      <alignment horizontal="center" wrapText="1"/>
    </xf>
    <xf numFmtId="1" fontId="10" fillId="0" borderId="0" xfId="2" applyNumberFormat="1" applyFont="1" applyBorder="1" applyAlignment="1">
      <alignment horizontal="center"/>
    </xf>
    <xf numFmtId="4" fontId="10" fillId="0" borderId="8" xfId="2" applyNumberFormat="1" applyFont="1" applyBorder="1" applyAlignment="1">
      <alignment horizontal="center"/>
    </xf>
    <xf numFmtId="4" fontId="10" fillId="0" borderId="17" xfId="2" applyNumberFormat="1" applyFont="1" applyFill="1" applyBorder="1"/>
    <xf numFmtId="0" fontId="10" fillId="17" borderId="0" xfId="2" applyFont="1" applyFill="1" applyBorder="1" applyAlignment="1">
      <alignment horizontal="center"/>
    </xf>
    <xf numFmtId="4" fontId="10" fillId="17" borderId="8" xfId="2" applyNumberFormat="1" applyFont="1" applyFill="1" applyBorder="1" applyAlignment="1">
      <alignment horizontal="center"/>
    </xf>
    <xf numFmtId="4" fontId="10" fillId="17" borderId="8" xfId="2" applyNumberFormat="1" applyFont="1" applyFill="1" applyBorder="1" applyAlignment="1">
      <alignment vertical="center"/>
    </xf>
    <xf numFmtId="4" fontId="10" fillId="17" borderId="7" xfId="2" applyNumberFormat="1" applyFont="1" applyFill="1" applyBorder="1" applyAlignment="1">
      <alignment vertical="center"/>
    </xf>
    <xf numFmtId="4" fontId="10" fillId="17" borderId="8" xfId="2" applyNumberFormat="1" applyFont="1" applyFill="1" applyBorder="1"/>
    <xf numFmtId="3" fontId="10" fillId="17" borderId="8" xfId="2" applyNumberFormat="1" applyFont="1" applyFill="1" applyBorder="1"/>
    <xf numFmtId="4" fontId="19" fillId="0" borderId="0" xfId="4" applyNumberFormat="1" applyAlignment="1">
      <alignment vertical="center" wrapText="1"/>
    </xf>
    <xf numFmtId="0" fontId="19" fillId="2" borderId="0" xfId="6" applyFill="1" applyProtection="1">
      <protection locked="0"/>
    </xf>
    <xf numFmtId="168" fontId="33" fillId="0" borderId="0" xfId="8" applyNumberFormat="1"/>
    <xf numFmtId="4" fontId="19" fillId="0" borderId="0" xfId="6" applyNumberFormat="1" applyAlignment="1" applyProtection="1">
      <alignment horizontal="center"/>
      <protection locked="0"/>
    </xf>
    <xf numFmtId="0" fontId="21" fillId="0" borderId="0" xfId="6" applyFont="1" applyProtection="1">
      <protection locked="0"/>
    </xf>
    <xf numFmtId="168" fontId="27" fillId="0" borderId="1" xfId="2" applyNumberFormat="1" applyFont="1" applyBorder="1" applyAlignment="1" applyProtection="1">
      <alignment horizontal="center" vertical="center"/>
      <protection hidden="1"/>
    </xf>
    <xf numFmtId="10" fontId="27" fillId="0" borderId="1" xfId="2" applyNumberFormat="1" applyFont="1" applyBorder="1" applyAlignment="1" applyProtection="1">
      <alignment horizontal="center" vertical="center"/>
      <protection hidden="1"/>
    </xf>
    <xf numFmtId="3" fontId="27" fillId="0" borderId="1" xfId="2" applyNumberFormat="1" applyFont="1" applyBorder="1" applyAlignment="1" applyProtection="1">
      <alignment horizontal="center" vertical="center"/>
      <protection hidden="1"/>
    </xf>
    <xf numFmtId="4" fontId="27" fillId="0" borderId="1" xfId="2" applyNumberFormat="1" applyFont="1" applyBorder="1" applyAlignment="1" applyProtection="1">
      <alignment horizontal="center" vertical="center"/>
      <protection hidden="1"/>
    </xf>
    <xf numFmtId="168" fontId="27" fillId="0" borderId="6" xfId="2" applyNumberFormat="1" applyFont="1" applyBorder="1" applyAlignment="1" applyProtection="1">
      <alignment horizontal="center" vertical="center"/>
      <protection hidden="1"/>
    </xf>
    <xf numFmtId="0" fontId="0" fillId="5" borderId="0" xfId="0" applyFill="1"/>
    <xf numFmtId="168" fontId="27" fillId="2" borderId="1" xfId="2" applyNumberFormat="1" applyFont="1" applyFill="1" applyBorder="1" applyAlignment="1" applyProtection="1">
      <alignment horizontal="center" vertical="center"/>
      <protection hidden="1"/>
    </xf>
    <xf numFmtId="0" fontId="0" fillId="22" borderId="0" xfId="0" applyFill="1"/>
    <xf numFmtId="0" fontId="19" fillId="2" borderId="0" xfId="6" applyFill="1" applyAlignment="1" applyProtection="1">
      <alignment wrapText="1"/>
      <protection locked="0"/>
    </xf>
    <xf numFmtId="1" fontId="10" fillId="0" borderId="6" xfId="2" applyNumberFormat="1" applyFont="1" applyBorder="1"/>
    <xf numFmtId="0" fontId="10" fillId="0" borderId="13" xfId="2" applyFont="1" applyBorder="1" applyAlignment="1">
      <alignment horizontal="center"/>
    </xf>
    <xf numFmtId="4" fontId="10" fillId="0" borderId="6" xfId="2" applyNumberFormat="1" applyFont="1" applyBorder="1" applyAlignment="1">
      <alignment horizontal="center"/>
    </xf>
    <xf numFmtId="4" fontId="38" fillId="2" borderId="0" xfId="6" applyNumberFormat="1" applyFont="1" applyFill="1" applyProtection="1">
      <protection locked="0"/>
    </xf>
    <xf numFmtId="4" fontId="52" fillId="2" borderId="0" xfId="6" applyNumberFormat="1" applyFont="1" applyFill="1" applyBorder="1" applyAlignment="1" applyProtection="1">
      <alignment horizontal="center" vertical="center"/>
      <protection hidden="1"/>
    </xf>
    <xf numFmtId="43" fontId="0" fillId="22" borderId="0" xfId="1" applyFont="1" applyFill="1"/>
    <xf numFmtId="4" fontId="10" fillId="22" borderId="2" xfId="2" applyNumberFormat="1" applyFont="1" applyFill="1" applyBorder="1"/>
    <xf numFmtId="43" fontId="0" fillId="22" borderId="0" xfId="1" applyFont="1" applyFill="1" applyAlignment="1">
      <alignment vertical="center"/>
    </xf>
    <xf numFmtId="43" fontId="2" fillId="22" borderId="0" xfId="1" applyFont="1" applyFill="1" applyAlignment="1">
      <alignment vertical="center"/>
    </xf>
    <xf numFmtId="43" fontId="0" fillId="22" borderId="0" xfId="0" applyNumberFormat="1" applyFill="1" applyAlignment="1">
      <alignment vertical="center"/>
    </xf>
    <xf numFmtId="43" fontId="2" fillId="22" borderId="0" xfId="0" applyNumberFormat="1" applyFont="1" applyFill="1" applyAlignment="1">
      <alignment vertical="center"/>
    </xf>
    <xf numFmtId="0" fontId="0" fillId="22" borderId="0" xfId="0" applyFill="1" applyAlignment="1">
      <alignment wrapText="1"/>
    </xf>
    <xf numFmtId="43" fontId="0" fillId="22" borderId="0" xfId="0" applyNumberFormat="1" applyFill="1"/>
    <xf numFmtId="43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10" fillId="3" borderId="5" xfId="2" applyNumberFormat="1" applyFont="1" applyFill="1" applyBorder="1"/>
    <xf numFmtId="0" fontId="19" fillId="0" borderId="1" xfId="6" applyBorder="1" applyAlignment="1" applyProtection="1">
      <alignment horizontal="center" vertical="center"/>
      <protection locked="0"/>
    </xf>
    <xf numFmtId="4" fontId="19" fillId="0" borderId="1" xfId="6" applyNumberFormat="1" applyBorder="1" applyAlignment="1" applyProtection="1">
      <alignment horizontal="center" vertical="center"/>
      <protection locked="0"/>
    </xf>
    <xf numFmtId="0" fontId="19" fillId="5" borderId="0" xfId="6" applyFill="1" applyAlignment="1" applyProtection="1">
      <alignment wrapText="1"/>
      <protection locked="0"/>
    </xf>
    <xf numFmtId="4" fontId="27" fillId="5" borderId="1" xfId="6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Border="1" applyAlignment="1">
      <alignment vertical="center"/>
    </xf>
    <xf numFmtId="0" fontId="53" fillId="0" borderId="0" xfId="0" applyFont="1" applyAlignment="1">
      <alignment wrapText="1"/>
    </xf>
    <xf numFmtId="0" fontId="0" fillId="0" borderId="5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52" xfId="0" applyBorder="1" applyAlignment="1">
      <alignment vertical="center" wrapText="1"/>
    </xf>
    <xf numFmtId="0" fontId="19" fillId="0" borderId="1" xfId="4" applyBorder="1" applyAlignment="1">
      <alignment horizontal="left" vertical="center" wrapText="1"/>
    </xf>
    <xf numFmtId="0" fontId="8" fillId="0" borderId="1" xfId="2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4" fontId="8" fillId="0" borderId="1" xfId="2" applyNumberForma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8" fillId="0" borderId="0" xfId="2" applyBorder="1" applyAlignment="1">
      <alignment vertical="center" wrapText="1"/>
    </xf>
    <xf numFmtId="0" fontId="19" fillId="0" borderId="0" xfId="4" applyBorder="1" applyAlignment="1">
      <alignment horizontal="left" vertical="center" wrapText="1"/>
    </xf>
    <xf numFmtId="0" fontId="8" fillId="0" borderId="0" xfId="2" applyBorder="1" applyAlignment="1">
      <alignment horizontal="left" vertical="center" wrapText="1"/>
    </xf>
    <xf numFmtId="43" fontId="0" fillId="0" borderId="0" xfId="0" applyNumberFormat="1" applyFill="1"/>
    <xf numFmtId="0" fontId="38" fillId="2" borderId="0" xfId="6" applyFont="1" applyFill="1" applyAlignment="1" applyProtection="1">
      <alignment horizontal="center"/>
      <protection locked="0"/>
    </xf>
    <xf numFmtId="4" fontId="38" fillId="2" borderId="0" xfId="6" applyNumberFormat="1" applyFont="1" applyFill="1" applyAlignment="1" applyProtection="1">
      <alignment horizontal="center"/>
      <protection locked="0"/>
    </xf>
    <xf numFmtId="4" fontId="38" fillId="0" borderId="0" xfId="6" applyNumberFormat="1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44" fontId="6" fillId="0" borderId="14" xfId="1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0" fillId="2" borderId="0" xfId="1" applyFont="1" applyFill="1" applyAlignment="1">
      <alignment vertical="center"/>
    </xf>
    <xf numFmtId="0" fontId="10" fillId="5" borderId="1" xfId="2" applyFont="1" applyFill="1" applyBorder="1" applyAlignment="1">
      <alignment wrapText="1"/>
    </xf>
    <xf numFmtId="0" fontId="10" fillId="5" borderId="7" xfId="2" applyFont="1" applyFill="1" applyBorder="1" applyAlignment="1">
      <alignment wrapText="1"/>
    </xf>
    <xf numFmtId="0" fontId="54" fillId="0" borderId="0" xfId="6" applyFont="1" applyAlignment="1" applyProtection="1">
      <alignment vertical="center"/>
      <protection locked="0"/>
    </xf>
    <xf numFmtId="0" fontId="19" fillId="0" borderId="1" xfId="6" applyFont="1" applyFill="1" applyBorder="1" applyAlignment="1" applyProtection="1">
      <alignment horizontal="left" vertical="center" wrapText="1"/>
      <protection locked="0"/>
    </xf>
    <xf numFmtId="3" fontId="10" fillId="0" borderId="1" xfId="2" applyNumberFormat="1" applyFont="1" applyBorder="1" applyAlignment="1">
      <alignment horizontal="left" wrapText="1"/>
    </xf>
    <xf numFmtId="0" fontId="10" fillId="2" borderId="6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4" fontId="19" fillId="0" borderId="14" xfId="6" applyNumberFormat="1" applyFont="1" applyBorder="1" applyAlignment="1" applyProtection="1">
      <alignment horizontal="center" vertical="center"/>
      <protection locked="0"/>
    </xf>
    <xf numFmtId="4" fontId="19" fillId="0" borderId="5" xfId="6" applyNumberFormat="1" applyFont="1" applyBorder="1" applyAlignment="1" applyProtection="1">
      <alignment horizontal="center" vertical="center"/>
      <protection locked="0"/>
    </xf>
    <xf numFmtId="4" fontId="8" fillId="12" borderId="14" xfId="2" applyNumberFormat="1" applyFill="1" applyBorder="1" applyAlignment="1">
      <alignment horizontal="center" vertical="center" wrapText="1"/>
    </xf>
    <xf numFmtId="4" fontId="8" fillId="12" borderId="5" xfId="2" applyNumberFormat="1" applyFill="1" applyBorder="1" applyAlignment="1">
      <alignment horizontal="center" vertical="center" wrapText="1"/>
    </xf>
    <xf numFmtId="4" fontId="22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4" fontId="8" fillId="12" borderId="1" xfId="2" applyNumberFormat="1" applyFill="1" applyBorder="1" applyAlignment="1">
      <alignment horizontal="center" vertical="center" wrapText="1"/>
    </xf>
    <xf numFmtId="0" fontId="8" fillId="12" borderId="1" xfId="2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13" fillId="0" borderId="6" xfId="2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3" fontId="12" fillId="0" borderId="14" xfId="2" applyNumberFormat="1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3" fontId="12" fillId="0" borderId="6" xfId="2" applyNumberFormat="1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1" fontId="9" fillId="0" borderId="13" xfId="2" applyNumberFormat="1" applyFont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3" fontId="13" fillId="0" borderId="6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wrapText="1"/>
    </xf>
    <xf numFmtId="0" fontId="10" fillId="0" borderId="0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" fontId="9" fillId="0" borderId="13" xfId="2" applyNumberFormat="1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3" fontId="13" fillId="2" borderId="6" xfId="2" applyNumberFormat="1" applyFont="1" applyFill="1" applyBorder="1" applyAlignment="1">
      <alignment horizontal="center" vertical="center" wrapText="1"/>
    </xf>
    <xf numFmtId="3" fontId="13" fillId="2" borderId="8" xfId="2" applyNumberFormat="1" applyFont="1" applyFill="1" applyBorder="1" applyAlignment="1">
      <alignment horizontal="center" vertical="center" wrapText="1"/>
    </xf>
    <xf numFmtId="3" fontId="13" fillId="2" borderId="7" xfId="2" applyNumberFormat="1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textRotation="255" wrapText="1"/>
    </xf>
    <xf numFmtId="0" fontId="10" fillId="0" borderId="8" xfId="2" applyFont="1" applyBorder="1" applyAlignment="1">
      <alignment horizontal="center" vertical="center" textRotation="255" wrapText="1"/>
    </xf>
    <xf numFmtId="0" fontId="10" fillId="0" borderId="7" xfId="2" applyFont="1" applyBorder="1" applyAlignment="1">
      <alignment horizontal="center" vertical="center" textRotation="255" wrapText="1"/>
    </xf>
    <xf numFmtId="0" fontId="19" fillId="0" borderId="0" xfId="4" applyBorder="1" applyAlignment="1">
      <alignment horizontal="left" vertical="center" wrapText="1"/>
    </xf>
    <xf numFmtId="0" fontId="8" fillId="0" borderId="0" xfId="2" applyBorder="1" applyAlignment="1">
      <alignment horizontal="left" vertical="center" wrapText="1"/>
    </xf>
    <xf numFmtId="0" fontId="8" fillId="0" borderId="0" xfId="2" applyBorder="1" applyAlignment="1">
      <alignment vertical="center" wrapText="1"/>
    </xf>
    <xf numFmtId="0" fontId="9" fillId="0" borderId="30" xfId="2" applyFont="1" applyBorder="1" applyAlignment="1">
      <alignment horizontal="right" vertical="center" wrapText="1"/>
    </xf>
    <xf numFmtId="0" fontId="10" fillId="0" borderId="31" xfId="2" applyFont="1" applyBorder="1" applyAlignment="1">
      <alignment horizontal="right" vertical="center" wrapText="1"/>
    </xf>
    <xf numFmtId="0" fontId="10" fillId="0" borderId="11" xfId="2" applyFont="1" applyBorder="1" applyAlignment="1">
      <alignment horizontal="right" vertical="center" wrapText="1"/>
    </xf>
    <xf numFmtId="0" fontId="10" fillId="0" borderId="0" xfId="2" applyFont="1" applyAlignment="1">
      <alignment horizontal="center" wrapText="1"/>
    </xf>
    <xf numFmtId="0" fontId="20" fillId="0" borderId="0" xfId="4" applyFont="1" applyAlignment="1">
      <alignment horizontal="center" vertical="center" wrapText="1"/>
    </xf>
    <xf numFmtId="0" fontId="19" fillId="0" borderId="1" xfId="4" applyBorder="1" applyAlignment="1">
      <alignment horizontal="left" vertical="center" wrapText="1"/>
    </xf>
    <xf numFmtId="0" fontId="8" fillId="0" borderId="1" xfId="2" applyBorder="1" applyAlignment="1">
      <alignment horizontal="left" vertical="center" wrapText="1"/>
    </xf>
    <xf numFmtId="0" fontId="8" fillId="0" borderId="1" xfId="2" applyBorder="1" applyAlignment="1">
      <alignment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19" fillId="0" borderId="0" xfId="4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/>
    </xf>
    <xf numFmtId="3" fontId="40" fillId="2" borderId="0" xfId="2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0" fontId="21" fillId="0" borderId="0" xfId="4" applyFont="1" applyBorder="1" applyAlignment="1">
      <alignment horizontal="center" vertical="center" wrapText="1"/>
    </xf>
    <xf numFmtId="0" fontId="39" fillId="2" borderId="0" xfId="4" applyFont="1" applyFill="1" applyBorder="1" applyAlignment="1">
      <alignment horizontal="center" vertical="center" wrapText="1"/>
    </xf>
    <xf numFmtId="4" fontId="22" fillId="5" borderId="1" xfId="2" applyNumberFormat="1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wrapText="1"/>
    </xf>
    <xf numFmtId="0" fontId="10" fillId="0" borderId="25" xfId="2" applyFont="1" applyBorder="1" applyAlignment="1">
      <alignment horizontal="center" wrapText="1"/>
    </xf>
    <xf numFmtId="0" fontId="58" fillId="5" borderId="0" xfId="6" applyFont="1" applyFill="1" applyAlignment="1" applyProtection="1">
      <alignment horizontal="center" vertical="center"/>
      <protection locked="0"/>
    </xf>
    <xf numFmtId="0" fontId="30" fillId="0" borderId="0" xfId="6" applyFont="1" applyFill="1" applyBorder="1" applyAlignment="1" applyProtection="1">
      <alignment horizontal="right" vertical="center"/>
      <protection locked="0"/>
    </xf>
    <xf numFmtId="2" fontId="30" fillId="0" borderId="0" xfId="6" applyNumberFormat="1" applyFont="1" applyFill="1" applyBorder="1" applyAlignment="1" applyProtection="1">
      <alignment horizontal="left" vertical="center" wrapText="1"/>
      <protection locked="0"/>
    </xf>
    <xf numFmtId="2" fontId="30" fillId="0" borderId="25" xfId="6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25" fillId="0" borderId="0" xfId="6" applyFont="1" applyFill="1" applyBorder="1" applyAlignment="1" applyProtection="1">
      <alignment horizontal="center" vertical="center"/>
      <protection locked="0"/>
    </xf>
    <xf numFmtId="0" fontId="26" fillId="0" borderId="0" xfId="6" applyFont="1" applyFill="1" applyBorder="1" applyAlignment="1" applyProtection="1">
      <alignment horizontal="center" vertical="center"/>
      <protection locked="0"/>
    </xf>
    <xf numFmtId="0" fontId="27" fillId="13" borderId="14" xfId="6" applyFont="1" applyFill="1" applyBorder="1" applyAlignment="1" applyProtection="1">
      <alignment horizontal="center" vertical="center"/>
      <protection locked="0"/>
    </xf>
    <xf numFmtId="0" fontId="27" fillId="13" borderId="15" xfId="6" applyFont="1" applyFill="1" applyBorder="1" applyAlignment="1" applyProtection="1">
      <alignment horizontal="center" vertical="center"/>
      <protection locked="0"/>
    </xf>
    <xf numFmtId="0" fontId="21" fillId="14" borderId="1" xfId="6" applyFont="1" applyFill="1" applyBorder="1" applyAlignment="1" applyProtection="1">
      <alignment horizontal="center" vertical="center"/>
      <protection locked="0"/>
    </xf>
    <xf numFmtId="0" fontId="27" fillId="13" borderId="1" xfId="6" applyFont="1" applyFill="1" applyBorder="1" applyAlignment="1" applyProtection="1">
      <alignment horizontal="center" vertical="center"/>
      <protection locked="0"/>
    </xf>
    <xf numFmtId="0" fontId="27" fillId="0" borderId="0" xfId="6" applyFont="1" applyFill="1" applyBorder="1" applyAlignment="1" applyProtection="1">
      <alignment horizontal="right" vertical="center"/>
      <protection locked="0"/>
    </xf>
    <xf numFmtId="0" fontId="19" fillId="0" borderId="17" xfId="2" applyFont="1" applyBorder="1" applyAlignment="1" applyProtection="1">
      <alignment horizontal="center" wrapText="1"/>
      <protection locked="0"/>
    </xf>
    <xf numFmtId="0" fontId="19" fillId="0" borderId="0" xfId="2" applyFont="1" applyAlignment="1" applyProtection="1">
      <alignment horizontal="center" wrapText="1"/>
      <protection locked="0"/>
    </xf>
    <xf numFmtId="0" fontId="31" fillId="0" borderId="14" xfId="6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19" fillId="9" borderId="14" xfId="6" applyFill="1" applyBorder="1" applyAlignment="1" applyProtection="1">
      <alignment horizontal="center"/>
      <protection locked="0"/>
    </xf>
    <xf numFmtId="0" fontId="19" fillId="9" borderId="5" xfId="6" applyFill="1" applyBorder="1" applyAlignment="1" applyProtection="1">
      <alignment horizontal="center"/>
      <protection locked="0"/>
    </xf>
    <xf numFmtId="0" fontId="19" fillId="0" borderId="14" xfId="6" applyBorder="1" applyAlignment="1" applyProtection="1">
      <alignment horizontal="center"/>
      <protection locked="0"/>
    </xf>
    <xf numFmtId="0" fontId="19" fillId="0" borderId="5" xfId="6" applyBorder="1" applyAlignment="1" applyProtection="1">
      <alignment horizontal="center"/>
      <protection locked="0"/>
    </xf>
    <xf numFmtId="0" fontId="55" fillId="0" borderId="0" xfId="0" applyFont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9" fillId="2" borderId="0" xfId="4" applyFill="1" applyBorder="1" applyAlignment="1">
      <alignment horizontal="left" vertical="center" wrapText="1"/>
    </xf>
    <xf numFmtId="0" fontId="8" fillId="2" borderId="0" xfId="2" applyFill="1" applyBorder="1" applyAlignment="1">
      <alignment horizontal="left" vertical="center" wrapText="1"/>
    </xf>
    <xf numFmtId="0" fontId="8" fillId="2" borderId="0" xfId="2" applyFill="1" applyBorder="1" applyAlignment="1">
      <alignment vertical="center" wrapText="1"/>
    </xf>
    <xf numFmtId="0" fontId="21" fillId="2" borderId="0" xfId="4" applyFont="1" applyFill="1" applyBorder="1" applyAlignment="1">
      <alignment horizontal="left" vertical="center" wrapText="1"/>
    </xf>
    <xf numFmtId="0" fontId="19" fillId="2" borderId="0" xfId="4" applyFill="1" applyBorder="1" applyAlignment="1">
      <alignment horizontal="center" vertical="center" wrapText="1"/>
    </xf>
    <xf numFmtId="0" fontId="21" fillId="2" borderId="0" xfId="4" applyFont="1" applyFill="1" applyBorder="1" applyAlignment="1">
      <alignment horizontal="center" vertical="center" wrapText="1"/>
    </xf>
    <xf numFmtId="3" fontId="10" fillId="2" borderId="0" xfId="2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9">
    <cellStyle name="Euro" xfId="7"/>
    <cellStyle name="Migliaia" xfId="1" builtinId="3"/>
    <cellStyle name="Migliaia 2" xfId="3"/>
    <cellStyle name="Normale" xfId="0" builtinId="0"/>
    <cellStyle name="Normale 2" xfId="2"/>
    <cellStyle name="Normale 3" xfId="6"/>
    <cellStyle name="Normale 4" xfId="8"/>
    <cellStyle name="Normale_STRA SET 06" xfId="4"/>
    <cellStyle name="Valuta" xfId="5" builtinId="4"/>
  </cellStyles>
  <dxfs count="3"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izzi/AppData/Local/Temp/Copia%20di%20incrementi%20tabellari%202016%202017%202018%20rispetto%20anno%20preced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o/Documents/SynologyDrive/Cartelle%20Personali/G.Ario/DASEIN%20giampy%208%20agosto%202012/LAVORI/resp%20dip/spesa%20personale/leini/Copia%20di%20Spesa%20personale%20bilancio%202019%20DA%20MARI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P. IN SERV. MENO irap"/>
      <sheetName val="Tabella A - Incrementi mensili"/>
      <sheetName val="IMPORT. ARRETR. CCNL 21-05-2018"/>
      <sheetName val="Tabella C - Conglobamento IVC "/>
      <sheetName val="Tabella D - Elemento perequativ"/>
    </sheetNames>
    <sheetDataSet>
      <sheetData sheetId="0">
        <row r="29">
          <cell r="S29">
            <v>49062.201000000045</v>
          </cell>
          <cell r="Z29">
            <v>9144.2999999999993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ERI E IRAP 2019"/>
      <sheetName val="PREVENTIVO CON ASSUNZ. 2019"/>
      <sheetName val="STRAORDINARI"/>
      <sheetName val="TURNI E REP."/>
      <sheetName val="ONERI E IRAP"/>
      <sheetName val="F.E.S."/>
      <sheetName val="PREVENTIVO 2019 del 3-10-2018"/>
      <sheetName val="Foglio3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6">
          <cell r="S86">
            <v>0</v>
          </cell>
          <cell r="AA86">
            <v>0</v>
          </cell>
          <cell r="AB86">
            <v>0</v>
          </cell>
          <cell r="AD86">
            <v>0</v>
          </cell>
          <cell r="AG86">
            <v>0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O265"/>
  <sheetViews>
    <sheetView showGridLines="0" view="pageBreakPreview" zoomScale="80" zoomScaleNormal="100" zoomScaleSheetLayoutView="80" workbookViewId="0">
      <pane ySplit="5" topLeftCell="A15" activePane="bottomLeft" state="frozen"/>
      <selection activeCell="C242" sqref="C242"/>
      <selection pane="bottomLeft" activeCell="C27" sqref="C27"/>
    </sheetView>
  </sheetViews>
  <sheetFormatPr defaultColWidth="9.140625" defaultRowHeight="15"/>
  <cols>
    <col min="1" max="1" width="10.5703125" style="156" customWidth="1"/>
    <col min="2" max="2" width="3.7109375" style="49" customWidth="1"/>
    <col min="3" max="3" width="41.28515625" style="156" customWidth="1"/>
    <col min="4" max="4" width="7.5703125" style="157" hidden="1" customWidth="1"/>
    <col min="5" max="5" width="3.5703125" style="156" hidden="1" customWidth="1"/>
    <col min="6" max="6" width="4.140625" style="158" hidden="1" customWidth="1"/>
    <col min="7" max="7" width="27.28515625" style="156" customWidth="1"/>
    <col min="8" max="8" width="11.5703125" style="156" hidden="1" customWidth="1"/>
    <col min="9" max="9" width="12.7109375" style="601" customWidth="1"/>
    <col min="10" max="10" width="17.42578125" style="146" customWidth="1"/>
    <col min="11" max="11" width="13.7109375" style="601" customWidth="1"/>
    <col min="12" max="12" width="11.7109375" style="146" customWidth="1"/>
    <col min="13" max="13" width="12.42578125" style="146" customWidth="1"/>
    <col min="14" max="14" width="13" style="146" customWidth="1"/>
    <col min="15" max="15" width="11.42578125" style="146" customWidth="1"/>
    <col min="16" max="16" width="13.28515625" style="146" customWidth="1"/>
    <col min="17" max="17" width="13.85546875" style="145" customWidth="1"/>
    <col min="18" max="18" width="16.5703125" style="145" customWidth="1"/>
    <col min="19" max="19" width="15.42578125" style="145" customWidth="1"/>
    <col min="20" max="20" width="16.140625" style="145" hidden="1" customWidth="1"/>
    <col min="21" max="21" width="13.5703125" style="145" hidden="1" customWidth="1"/>
    <col min="22" max="22" width="15.85546875" style="146" hidden="1" customWidth="1"/>
    <col min="23" max="23" width="21.7109375" style="146" hidden="1" customWidth="1"/>
    <col min="24" max="24" width="18.28515625" style="146" hidden="1" customWidth="1"/>
    <col min="25" max="25" width="19.7109375" style="146" hidden="1" customWidth="1"/>
    <col min="26" max="26" width="20.5703125" style="146" hidden="1" customWidth="1"/>
    <col min="27" max="27" width="14" style="146" customWidth="1"/>
    <col min="28" max="28" width="13.42578125" style="146" customWidth="1"/>
    <col min="29" max="29" width="13" style="146" customWidth="1"/>
    <col min="30" max="30" width="18" style="146" customWidth="1"/>
    <col min="31" max="31" width="17.5703125" style="146" customWidth="1"/>
    <col min="32" max="32" width="13.140625" style="146" customWidth="1"/>
    <col min="33" max="33" width="13.7109375" style="146" customWidth="1"/>
    <col min="34" max="34" width="12.5703125" style="146" hidden="1" customWidth="1"/>
    <col min="35" max="35" width="20.85546875" style="146" hidden="1" customWidth="1"/>
    <col min="36" max="36" width="13.85546875" style="146" hidden="1" customWidth="1"/>
    <col min="37" max="38" width="11.42578125" style="156" customWidth="1"/>
    <col min="39" max="39" width="13.5703125" style="156" customWidth="1"/>
    <col min="40" max="256" width="11.42578125" style="156"/>
    <col min="257" max="257" width="21.85546875" style="156" customWidth="1"/>
    <col min="258" max="258" width="3.7109375" style="156" customWidth="1"/>
    <col min="259" max="259" width="45.5703125" style="156" customWidth="1"/>
    <col min="260" max="262" width="9.140625" style="156" customWidth="1"/>
    <col min="263" max="263" width="14.140625" style="156" customWidth="1"/>
    <col min="264" max="264" width="9.140625" style="156" customWidth="1"/>
    <col min="265" max="265" width="12.7109375" style="156" customWidth="1"/>
    <col min="266" max="266" width="17.42578125" style="156" customWidth="1"/>
    <col min="267" max="267" width="13.7109375" style="156" customWidth="1"/>
    <col min="268" max="268" width="11.7109375" style="156" customWidth="1"/>
    <col min="269" max="269" width="12.42578125" style="156" customWidth="1"/>
    <col min="270" max="270" width="13" style="156" customWidth="1"/>
    <col min="271" max="271" width="11.42578125" style="156"/>
    <col min="272" max="272" width="13.28515625" style="156" customWidth="1"/>
    <col min="273" max="273" width="13.85546875" style="156" customWidth="1"/>
    <col min="274" max="274" width="11.42578125" style="156"/>
    <col min="275" max="275" width="15.42578125" style="156" customWidth="1"/>
    <col min="276" max="277" width="13.5703125" style="156" customWidth="1"/>
    <col min="278" max="278" width="15.85546875" style="156" customWidth="1"/>
    <col min="279" max="279" width="21.7109375" style="156" customWidth="1"/>
    <col min="280" max="280" width="18.28515625" style="156" customWidth="1"/>
    <col min="281" max="281" width="19.7109375" style="156" customWidth="1"/>
    <col min="282" max="282" width="20.5703125" style="156" customWidth="1"/>
    <col min="283" max="283" width="14" style="156" customWidth="1"/>
    <col min="284" max="284" width="13.42578125" style="156" customWidth="1"/>
    <col min="285" max="285" width="13" style="156" customWidth="1"/>
    <col min="286" max="286" width="13.7109375" style="156" customWidth="1"/>
    <col min="287" max="287" width="12.140625" style="156" customWidth="1"/>
    <col min="288" max="288" width="13.140625" style="156" customWidth="1"/>
    <col min="289" max="289" width="13.7109375" style="156" customWidth="1"/>
    <col min="290" max="290" width="12.5703125" style="156" customWidth="1"/>
    <col min="291" max="291" width="20.85546875" style="156" customWidth="1"/>
    <col min="292" max="292" width="13.85546875" style="156" customWidth="1"/>
    <col min="293" max="294" width="11.42578125" style="156"/>
    <col min="295" max="295" width="13.5703125" style="156" customWidth="1"/>
    <col min="296" max="512" width="11.42578125" style="156"/>
    <col min="513" max="513" width="21.85546875" style="156" customWidth="1"/>
    <col min="514" max="514" width="3.7109375" style="156" customWidth="1"/>
    <col min="515" max="515" width="45.5703125" style="156" customWidth="1"/>
    <col min="516" max="518" width="9.140625" style="156" customWidth="1"/>
    <col min="519" max="519" width="14.140625" style="156" customWidth="1"/>
    <col min="520" max="520" width="9.140625" style="156" customWidth="1"/>
    <col min="521" max="521" width="12.7109375" style="156" customWidth="1"/>
    <col min="522" max="522" width="17.42578125" style="156" customWidth="1"/>
    <col min="523" max="523" width="13.7109375" style="156" customWidth="1"/>
    <col min="524" max="524" width="11.7109375" style="156" customWidth="1"/>
    <col min="525" max="525" width="12.42578125" style="156" customWidth="1"/>
    <col min="526" max="526" width="13" style="156" customWidth="1"/>
    <col min="527" max="527" width="11.42578125" style="156"/>
    <col min="528" max="528" width="13.28515625" style="156" customWidth="1"/>
    <col min="529" max="529" width="13.85546875" style="156" customWidth="1"/>
    <col min="530" max="530" width="11.42578125" style="156"/>
    <col min="531" max="531" width="15.42578125" style="156" customWidth="1"/>
    <col min="532" max="533" width="13.5703125" style="156" customWidth="1"/>
    <col min="534" max="534" width="15.85546875" style="156" customWidth="1"/>
    <col min="535" max="535" width="21.7109375" style="156" customWidth="1"/>
    <col min="536" max="536" width="18.28515625" style="156" customWidth="1"/>
    <col min="537" max="537" width="19.7109375" style="156" customWidth="1"/>
    <col min="538" max="538" width="20.5703125" style="156" customWidth="1"/>
    <col min="539" max="539" width="14" style="156" customWidth="1"/>
    <col min="540" max="540" width="13.42578125" style="156" customWidth="1"/>
    <col min="541" max="541" width="13" style="156" customWidth="1"/>
    <col min="542" max="542" width="13.7109375" style="156" customWidth="1"/>
    <col min="543" max="543" width="12.140625" style="156" customWidth="1"/>
    <col min="544" max="544" width="13.140625" style="156" customWidth="1"/>
    <col min="545" max="545" width="13.7109375" style="156" customWidth="1"/>
    <col min="546" max="546" width="12.5703125" style="156" customWidth="1"/>
    <col min="547" max="547" width="20.85546875" style="156" customWidth="1"/>
    <col min="548" max="548" width="13.85546875" style="156" customWidth="1"/>
    <col min="549" max="550" width="11.42578125" style="156"/>
    <col min="551" max="551" width="13.5703125" style="156" customWidth="1"/>
    <col min="552" max="768" width="11.42578125" style="156"/>
    <col min="769" max="769" width="21.85546875" style="156" customWidth="1"/>
    <col min="770" max="770" width="3.7109375" style="156" customWidth="1"/>
    <col min="771" max="771" width="45.5703125" style="156" customWidth="1"/>
    <col min="772" max="774" width="9.140625" style="156" customWidth="1"/>
    <col min="775" max="775" width="14.140625" style="156" customWidth="1"/>
    <col min="776" max="776" width="9.140625" style="156" customWidth="1"/>
    <col min="777" max="777" width="12.7109375" style="156" customWidth="1"/>
    <col min="778" max="778" width="17.42578125" style="156" customWidth="1"/>
    <col min="779" max="779" width="13.7109375" style="156" customWidth="1"/>
    <col min="780" max="780" width="11.7109375" style="156" customWidth="1"/>
    <col min="781" max="781" width="12.42578125" style="156" customWidth="1"/>
    <col min="782" max="782" width="13" style="156" customWidth="1"/>
    <col min="783" max="783" width="11.42578125" style="156"/>
    <col min="784" max="784" width="13.28515625" style="156" customWidth="1"/>
    <col min="785" max="785" width="13.85546875" style="156" customWidth="1"/>
    <col min="786" max="786" width="11.42578125" style="156"/>
    <col min="787" max="787" width="15.42578125" style="156" customWidth="1"/>
    <col min="788" max="789" width="13.5703125" style="156" customWidth="1"/>
    <col min="790" max="790" width="15.85546875" style="156" customWidth="1"/>
    <col min="791" max="791" width="21.7109375" style="156" customWidth="1"/>
    <col min="792" max="792" width="18.28515625" style="156" customWidth="1"/>
    <col min="793" max="793" width="19.7109375" style="156" customWidth="1"/>
    <col min="794" max="794" width="20.5703125" style="156" customWidth="1"/>
    <col min="795" max="795" width="14" style="156" customWidth="1"/>
    <col min="796" max="796" width="13.42578125" style="156" customWidth="1"/>
    <col min="797" max="797" width="13" style="156" customWidth="1"/>
    <col min="798" max="798" width="13.7109375" style="156" customWidth="1"/>
    <col min="799" max="799" width="12.140625" style="156" customWidth="1"/>
    <col min="800" max="800" width="13.140625" style="156" customWidth="1"/>
    <col min="801" max="801" width="13.7109375" style="156" customWidth="1"/>
    <col min="802" max="802" width="12.5703125" style="156" customWidth="1"/>
    <col min="803" max="803" width="20.85546875" style="156" customWidth="1"/>
    <col min="804" max="804" width="13.85546875" style="156" customWidth="1"/>
    <col min="805" max="806" width="11.42578125" style="156"/>
    <col min="807" max="807" width="13.5703125" style="156" customWidth="1"/>
    <col min="808" max="1024" width="9.140625" style="156"/>
    <col min="1025" max="1025" width="21.85546875" style="156" customWidth="1"/>
    <col min="1026" max="1026" width="3.7109375" style="156" customWidth="1"/>
    <col min="1027" max="1027" width="45.5703125" style="156" customWidth="1"/>
    <col min="1028" max="1030" width="9.140625" style="156" customWidth="1"/>
    <col min="1031" max="1031" width="14.140625" style="156" customWidth="1"/>
    <col min="1032" max="1032" width="9.140625" style="156" customWidth="1"/>
    <col min="1033" max="1033" width="12.7109375" style="156" customWidth="1"/>
    <col min="1034" max="1034" width="17.42578125" style="156" customWidth="1"/>
    <col min="1035" max="1035" width="13.7109375" style="156" customWidth="1"/>
    <col min="1036" max="1036" width="11.7109375" style="156" customWidth="1"/>
    <col min="1037" max="1037" width="12.42578125" style="156" customWidth="1"/>
    <col min="1038" max="1038" width="13" style="156" customWidth="1"/>
    <col min="1039" max="1039" width="11.42578125" style="156"/>
    <col min="1040" max="1040" width="13.28515625" style="156" customWidth="1"/>
    <col min="1041" max="1041" width="13.85546875" style="156" customWidth="1"/>
    <col min="1042" max="1042" width="11.42578125" style="156"/>
    <col min="1043" max="1043" width="15.42578125" style="156" customWidth="1"/>
    <col min="1044" max="1045" width="13.5703125" style="156" customWidth="1"/>
    <col min="1046" max="1046" width="15.85546875" style="156" customWidth="1"/>
    <col min="1047" max="1047" width="21.7109375" style="156" customWidth="1"/>
    <col min="1048" max="1048" width="18.28515625" style="156" customWidth="1"/>
    <col min="1049" max="1049" width="19.7109375" style="156" customWidth="1"/>
    <col min="1050" max="1050" width="20.5703125" style="156" customWidth="1"/>
    <col min="1051" max="1051" width="14" style="156" customWidth="1"/>
    <col min="1052" max="1052" width="13.42578125" style="156" customWidth="1"/>
    <col min="1053" max="1053" width="13" style="156" customWidth="1"/>
    <col min="1054" max="1054" width="13.7109375" style="156" customWidth="1"/>
    <col min="1055" max="1055" width="12.140625" style="156" customWidth="1"/>
    <col min="1056" max="1056" width="13.140625" style="156" customWidth="1"/>
    <col min="1057" max="1057" width="13.7109375" style="156" customWidth="1"/>
    <col min="1058" max="1058" width="12.5703125" style="156" customWidth="1"/>
    <col min="1059" max="1059" width="20.85546875" style="156" customWidth="1"/>
    <col min="1060" max="1060" width="13.85546875" style="156" customWidth="1"/>
    <col min="1061" max="1062" width="11.42578125" style="156"/>
    <col min="1063" max="1063" width="13.5703125" style="156" customWidth="1"/>
    <col min="1064" max="1280" width="11.42578125" style="156"/>
    <col min="1281" max="1281" width="21.85546875" style="156" customWidth="1"/>
    <col min="1282" max="1282" width="3.7109375" style="156" customWidth="1"/>
    <col min="1283" max="1283" width="45.5703125" style="156" customWidth="1"/>
    <col min="1284" max="1286" width="9.140625" style="156" customWidth="1"/>
    <col min="1287" max="1287" width="14.140625" style="156" customWidth="1"/>
    <col min="1288" max="1288" width="9.140625" style="156" customWidth="1"/>
    <col min="1289" max="1289" width="12.7109375" style="156" customWidth="1"/>
    <col min="1290" max="1290" width="17.42578125" style="156" customWidth="1"/>
    <col min="1291" max="1291" width="13.7109375" style="156" customWidth="1"/>
    <col min="1292" max="1292" width="11.7109375" style="156" customWidth="1"/>
    <col min="1293" max="1293" width="12.42578125" style="156" customWidth="1"/>
    <col min="1294" max="1294" width="13" style="156" customWidth="1"/>
    <col min="1295" max="1295" width="11.42578125" style="156"/>
    <col min="1296" max="1296" width="13.28515625" style="156" customWidth="1"/>
    <col min="1297" max="1297" width="13.85546875" style="156" customWidth="1"/>
    <col min="1298" max="1298" width="11.42578125" style="156"/>
    <col min="1299" max="1299" width="15.42578125" style="156" customWidth="1"/>
    <col min="1300" max="1301" width="13.5703125" style="156" customWidth="1"/>
    <col min="1302" max="1302" width="15.85546875" style="156" customWidth="1"/>
    <col min="1303" max="1303" width="21.7109375" style="156" customWidth="1"/>
    <col min="1304" max="1304" width="18.28515625" style="156" customWidth="1"/>
    <col min="1305" max="1305" width="19.7109375" style="156" customWidth="1"/>
    <col min="1306" max="1306" width="20.5703125" style="156" customWidth="1"/>
    <col min="1307" max="1307" width="14" style="156" customWidth="1"/>
    <col min="1308" max="1308" width="13.42578125" style="156" customWidth="1"/>
    <col min="1309" max="1309" width="13" style="156" customWidth="1"/>
    <col min="1310" max="1310" width="13.7109375" style="156" customWidth="1"/>
    <col min="1311" max="1311" width="12.140625" style="156" customWidth="1"/>
    <col min="1312" max="1312" width="13.140625" style="156" customWidth="1"/>
    <col min="1313" max="1313" width="13.7109375" style="156" customWidth="1"/>
    <col min="1314" max="1314" width="12.5703125" style="156" customWidth="1"/>
    <col min="1315" max="1315" width="20.85546875" style="156" customWidth="1"/>
    <col min="1316" max="1316" width="13.85546875" style="156" customWidth="1"/>
    <col min="1317" max="1318" width="11.42578125" style="156"/>
    <col min="1319" max="1319" width="13.5703125" style="156" customWidth="1"/>
    <col min="1320" max="1536" width="11.42578125" style="156"/>
    <col min="1537" max="1537" width="21.85546875" style="156" customWidth="1"/>
    <col min="1538" max="1538" width="3.7109375" style="156" customWidth="1"/>
    <col min="1539" max="1539" width="45.5703125" style="156" customWidth="1"/>
    <col min="1540" max="1542" width="9.140625" style="156" customWidth="1"/>
    <col min="1543" max="1543" width="14.140625" style="156" customWidth="1"/>
    <col min="1544" max="1544" width="9.140625" style="156" customWidth="1"/>
    <col min="1545" max="1545" width="12.7109375" style="156" customWidth="1"/>
    <col min="1546" max="1546" width="17.42578125" style="156" customWidth="1"/>
    <col min="1547" max="1547" width="13.7109375" style="156" customWidth="1"/>
    <col min="1548" max="1548" width="11.7109375" style="156" customWidth="1"/>
    <col min="1549" max="1549" width="12.42578125" style="156" customWidth="1"/>
    <col min="1550" max="1550" width="13" style="156" customWidth="1"/>
    <col min="1551" max="1551" width="11.42578125" style="156"/>
    <col min="1552" max="1552" width="13.28515625" style="156" customWidth="1"/>
    <col min="1553" max="1553" width="13.85546875" style="156" customWidth="1"/>
    <col min="1554" max="1554" width="11.42578125" style="156"/>
    <col min="1555" max="1555" width="15.42578125" style="156" customWidth="1"/>
    <col min="1556" max="1557" width="13.5703125" style="156" customWidth="1"/>
    <col min="1558" max="1558" width="15.85546875" style="156" customWidth="1"/>
    <col min="1559" max="1559" width="21.7109375" style="156" customWidth="1"/>
    <col min="1560" max="1560" width="18.28515625" style="156" customWidth="1"/>
    <col min="1561" max="1561" width="19.7109375" style="156" customWidth="1"/>
    <col min="1562" max="1562" width="20.5703125" style="156" customWidth="1"/>
    <col min="1563" max="1563" width="14" style="156" customWidth="1"/>
    <col min="1564" max="1564" width="13.42578125" style="156" customWidth="1"/>
    <col min="1565" max="1565" width="13" style="156" customWidth="1"/>
    <col min="1566" max="1566" width="13.7109375" style="156" customWidth="1"/>
    <col min="1567" max="1567" width="12.140625" style="156" customWidth="1"/>
    <col min="1568" max="1568" width="13.140625" style="156" customWidth="1"/>
    <col min="1569" max="1569" width="13.7109375" style="156" customWidth="1"/>
    <col min="1570" max="1570" width="12.5703125" style="156" customWidth="1"/>
    <col min="1571" max="1571" width="20.85546875" style="156" customWidth="1"/>
    <col min="1572" max="1572" width="13.85546875" style="156" customWidth="1"/>
    <col min="1573" max="1574" width="11.42578125" style="156"/>
    <col min="1575" max="1575" width="13.5703125" style="156" customWidth="1"/>
    <col min="1576" max="1792" width="11.42578125" style="156"/>
    <col min="1793" max="1793" width="21.85546875" style="156" customWidth="1"/>
    <col min="1794" max="1794" width="3.7109375" style="156" customWidth="1"/>
    <col min="1795" max="1795" width="45.5703125" style="156" customWidth="1"/>
    <col min="1796" max="1798" width="9.140625" style="156" customWidth="1"/>
    <col min="1799" max="1799" width="14.140625" style="156" customWidth="1"/>
    <col min="1800" max="1800" width="9.140625" style="156" customWidth="1"/>
    <col min="1801" max="1801" width="12.7109375" style="156" customWidth="1"/>
    <col min="1802" max="1802" width="17.42578125" style="156" customWidth="1"/>
    <col min="1803" max="1803" width="13.7109375" style="156" customWidth="1"/>
    <col min="1804" max="1804" width="11.7109375" style="156" customWidth="1"/>
    <col min="1805" max="1805" width="12.42578125" style="156" customWidth="1"/>
    <col min="1806" max="1806" width="13" style="156" customWidth="1"/>
    <col min="1807" max="1807" width="11.42578125" style="156"/>
    <col min="1808" max="1808" width="13.28515625" style="156" customWidth="1"/>
    <col min="1809" max="1809" width="13.85546875" style="156" customWidth="1"/>
    <col min="1810" max="1810" width="11.42578125" style="156"/>
    <col min="1811" max="1811" width="15.42578125" style="156" customWidth="1"/>
    <col min="1812" max="1813" width="13.5703125" style="156" customWidth="1"/>
    <col min="1814" max="1814" width="15.85546875" style="156" customWidth="1"/>
    <col min="1815" max="1815" width="21.7109375" style="156" customWidth="1"/>
    <col min="1816" max="1816" width="18.28515625" style="156" customWidth="1"/>
    <col min="1817" max="1817" width="19.7109375" style="156" customWidth="1"/>
    <col min="1818" max="1818" width="20.5703125" style="156" customWidth="1"/>
    <col min="1819" max="1819" width="14" style="156" customWidth="1"/>
    <col min="1820" max="1820" width="13.42578125" style="156" customWidth="1"/>
    <col min="1821" max="1821" width="13" style="156" customWidth="1"/>
    <col min="1822" max="1822" width="13.7109375" style="156" customWidth="1"/>
    <col min="1823" max="1823" width="12.140625" style="156" customWidth="1"/>
    <col min="1824" max="1824" width="13.140625" style="156" customWidth="1"/>
    <col min="1825" max="1825" width="13.7109375" style="156" customWidth="1"/>
    <col min="1826" max="1826" width="12.5703125" style="156" customWidth="1"/>
    <col min="1827" max="1827" width="20.85546875" style="156" customWidth="1"/>
    <col min="1828" max="1828" width="13.85546875" style="156" customWidth="1"/>
    <col min="1829" max="1830" width="11.42578125" style="156"/>
    <col min="1831" max="1831" width="13.5703125" style="156" customWidth="1"/>
    <col min="1832" max="2048" width="9.140625" style="156"/>
    <col min="2049" max="2049" width="21.85546875" style="156" customWidth="1"/>
    <col min="2050" max="2050" width="3.7109375" style="156" customWidth="1"/>
    <col min="2051" max="2051" width="45.5703125" style="156" customWidth="1"/>
    <col min="2052" max="2054" width="9.140625" style="156" customWidth="1"/>
    <col min="2055" max="2055" width="14.140625" style="156" customWidth="1"/>
    <col min="2056" max="2056" width="9.140625" style="156" customWidth="1"/>
    <col min="2057" max="2057" width="12.7109375" style="156" customWidth="1"/>
    <col min="2058" max="2058" width="17.42578125" style="156" customWidth="1"/>
    <col min="2059" max="2059" width="13.7109375" style="156" customWidth="1"/>
    <col min="2060" max="2060" width="11.7109375" style="156" customWidth="1"/>
    <col min="2061" max="2061" width="12.42578125" style="156" customWidth="1"/>
    <col min="2062" max="2062" width="13" style="156" customWidth="1"/>
    <col min="2063" max="2063" width="11.42578125" style="156"/>
    <col min="2064" max="2064" width="13.28515625" style="156" customWidth="1"/>
    <col min="2065" max="2065" width="13.85546875" style="156" customWidth="1"/>
    <col min="2066" max="2066" width="11.42578125" style="156"/>
    <col min="2067" max="2067" width="15.42578125" style="156" customWidth="1"/>
    <col min="2068" max="2069" width="13.5703125" style="156" customWidth="1"/>
    <col min="2070" max="2070" width="15.85546875" style="156" customWidth="1"/>
    <col min="2071" max="2071" width="21.7109375" style="156" customWidth="1"/>
    <col min="2072" max="2072" width="18.28515625" style="156" customWidth="1"/>
    <col min="2073" max="2073" width="19.7109375" style="156" customWidth="1"/>
    <col min="2074" max="2074" width="20.5703125" style="156" customWidth="1"/>
    <col min="2075" max="2075" width="14" style="156" customWidth="1"/>
    <col min="2076" max="2076" width="13.42578125" style="156" customWidth="1"/>
    <col min="2077" max="2077" width="13" style="156" customWidth="1"/>
    <col min="2078" max="2078" width="13.7109375" style="156" customWidth="1"/>
    <col min="2079" max="2079" width="12.140625" style="156" customWidth="1"/>
    <col min="2080" max="2080" width="13.140625" style="156" customWidth="1"/>
    <col min="2081" max="2081" width="13.7109375" style="156" customWidth="1"/>
    <col min="2082" max="2082" width="12.5703125" style="156" customWidth="1"/>
    <col min="2083" max="2083" width="20.85546875" style="156" customWidth="1"/>
    <col min="2084" max="2084" width="13.85546875" style="156" customWidth="1"/>
    <col min="2085" max="2086" width="11.42578125" style="156"/>
    <col min="2087" max="2087" width="13.5703125" style="156" customWidth="1"/>
    <col min="2088" max="2304" width="11.42578125" style="156"/>
    <col min="2305" max="2305" width="21.85546875" style="156" customWidth="1"/>
    <col min="2306" max="2306" width="3.7109375" style="156" customWidth="1"/>
    <col min="2307" max="2307" width="45.5703125" style="156" customWidth="1"/>
    <col min="2308" max="2310" width="9.140625" style="156" customWidth="1"/>
    <col min="2311" max="2311" width="14.140625" style="156" customWidth="1"/>
    <col min="2312" max="2312" width="9.140625" style="156" customWidth="1"/>
    <col min="2313" max="2313" width="12.7109375" style="156" customWidth="1"/>
    <col min="2314" max="2314" width="17.42578125" style="156" customWidth="1"/>
    <col min="2315" max="2315" width="13.7109375" style="156" customWidth="1"/>
    <col min="2316" max="2316" width="11.7109375" style="156" customWidth="1"/>
    <col min="2317" max="2317" width="12.42578125" style="156" customWidth="1"/>
    <col min="2318" max="2318" width="13" style="156" customWidth="1"/>
    <col min="2319" max="2319" width="11.42578125" style="156"/>
    <col min="2320" max="2320" width="13.28515625" style="156" customWidth="1"/>
    <col min="2321" max="2321" width="13.85546875" style="156" customWidth="1"/>
    <col min="2322" max="2322" width="11.42578125" style="156"/>
    <col min="2323" max="2323" width="15.42578125" style="156" customWidth="1"/>
    <col min="2324" max="2325" width="13.5703125" style="156" customWidth="1"/>
    <col min="2326" max="2326" width="15.85546875" style="156" customWidth="1"/>
    <col min="2327" max="2327" width="21.7109375" style="156" customWidth="1"/>
    <col min="2328" max="2328" width="18.28515625" style="156" customWidth="1"/>
    <col min="2329" max="2329" width="19.7109375" style="156" customWidth="1"/>
    <col min="2330" max="2330" width="20.5703125" style="156" customWidth="1"/>
    <col min="2331" max="2331" width="14" style="156" customWidth="1"/>
    <col min="2332" max="2332" width="13.42578125" style="156" customWidth="1"/>
    <col min="2333" max="2333" width="13" style="156" customWidth="1"/>
    <col min="2334" max="2334" width="13.7109375" style="156" customWidth="1"/>
    <col min="2335" max="2335" width="12.140625" style="156" customWidth="1"/>
    <col min="2336" max="2336" width="13.140625" style="156" customWidth="1"/>
    <col min="2337" max="2337" width="13.7109375" style="156" customWidth="1"/>
    <col min="2338" max="2338" width="12.5703125" style="156" customWidth="1"/>
    <col min="2339" max="2339" width="20.85546875" style="156" customWidth="1"/>
    <col min="2340" max="2340" width="13.85546875" style="156" customWidth="1"/>
    <col min="2341" max="2342" width="11.42578125" style="156"/>
    <col min="2343" max="2343" width="13.5703125" style="156" customWidth="1"/>
    <col min="2344" max="2560" width="11.42578125" style="156"/>
    <col min="2561" max="2561" width="21.85546875" style="156" customWidth="1"/>
    <col min="2562" max="2562" width="3.7109375" style="156" customWidth="1"/>
    <col min="2563" max="2563" width="45.5703125" style="156" customWidth="1"/>
    <col min="2564" max="2566" width="9.140625" style="156" customWidth="1"/>
    <col min="2567" max="2567" width="14.140625" style="156" customWidth="1"/>
    <col min="2568" max="2568" width="9.140625" style="156" customWidth="1"/>
    <col min="2569" max="2569" width="12.7109375" style="156" customWidth="1"/>
    <col min="2570" max="2570" width="17.42578125" style="156" customWidth="1"/>
    <col min="2571" max="2571" width="13.7109375" style="156" customWidth="1"/>
    <col min="2572" max="2572" width="11.7109375" style="156" customWidth="1"/>
    <col min="2573" max="2573" width="12.42578125" style="156" customWidth="1"/>
    <col min="2574" max="2574" width="13" style="156" customWidth="1"/>
    <col min="2575" max="2575" width="11.42578125" style="156"/>
    <col min="2576" max="2576" width="13.28515625" style="156" customWidth="1"/>
    <col min="2577" max="2577" width="13.85546875" style="156" customWidth="1"/>
    <col min="2578" max="2578" width="11.42578125" style="156"/>
    <col min="2579" max="2579" width="15.42578125" style="156" customWidth="1"/>
    <col min="2580" max="2581" width="13.5703125" style="156" customWidth="1"/>
    <col min="2582" max="2582" width="15.85546875" style="156" customWidth="1"/>
    <col min="2583" max="2583" width="21.7109375" style="156" customWidth="1"/>
    <col min="2584" max="2584" width="18.28515625" style="156" customWidth="1"/>
    <col min="2585" max="2585" width="19.7109375" style="156" customWidth="1"/>
    <col min="2586" max="2586" width="20.5703125" style="156" customWidth="1"/>
    <col min="2587" max="2587" width="14" style="156" customWidth="1"/>
    <col min="2588" max="2588" width="13.42578125" style="156" customWidth="1"/>
    <col min="2589" max="2589" width="13" style="156" customWidth="1"/>
    <col min="2590" max="2590" width="13.7109375" style="156" customWidth="1"/>
    <col min="2591" max="2591" width="12.140625" style="156" customWidth="1"/>
    <col min="2592" max="2592" width="13.140625" style="156" customWidth="1"/>
    <col min="2593" max="2593" width="13.7109375" style="156" customWidth="1"/>
    <col min="2594" max="2594" width="12.5703125" style="156" customWidth="1"/>
    <col min="2595" max="2595" width="20.85546875" style="156" customWidth="1"/>
    <col min="2596" max="2596" width="13.85546875" style="156" customWidth="1"/>
    <col min="2597" max="2598" width="11.42578125" style="156"/>
    <col min="2599" max="2599" width="13.5703125" style="156" customWidth="1"/>
    <col min="2600" max="2816" width="11.42578125" style="156"/>
    <col min="2817" max="2817" width="21.85546875" style="156" customWidth="1"/>
    <col min="2818" max="2818" width="3.7109375" style="156" customWidth="1"/>
    <col min="2819" max="2819" width="45.5703125" style="156" customWidth="1"/>
    <col min="2820" max="2822" width="9.140625" style="156" customWidth="1"/>
    <col min="2823" max="2823" width="14.140625" style="156" customWidth="1"/>
    <col min="2824" max="2824" width="9.140625" style="156" customWidth="1"/>
    <col min="2825" max="2825" width="12.7109375" style="156" customWidth="1"/>
    <col min="2826" max="2826" width="17.42578125" style="156" customWidth="1"/>
    <col min="2827" max="2827" width="13.7109375" style="156" customWidth="1"/>
    <col min="2828" max="2828" width="11.7109375" style="156" customWidth="1"/>
    <col min="2829" max="2829" width="12.42578125" style="156" customWidth="1"/>
    <col min="2830" max="2830" width="13" style="156" customWidth="1"/>
    <col min="2831" max="2831" width="11.42578125" style="156"/>
    <col min="2832" max="2832" width="13.28515625" style="156" customWidth="1"/>
    <col min="2833" max="2833" width="13.85546875" style="156" customWidth="1"/>
    <col min="2834" max="2834" width="11.42578125" style="156"/>
    <col min="2835" max="2835" width="15.42578125" style="156" customWidth="1"/>
    <col min="2836" max="2837" width="13.5703125" style="156" customWidth="1"/>
    <col min="2838" max="2838" width="15.85546875" style="156" customWidth="1"/>
    <col min="2839" max="2839" width="21.7109375" style="156" customWidth="1"/>
    <col min="2840" max="2840" width="18.28515625" style="156" customWidth="1"/>
    <col min="2841" max="2841" width="19.7109375" style="156" customWidth="1"/>
    <col min="2842" max="2842" width="20.5703125" style="156" customWidth="1"/>
    <col min="2843" max="2843" width="14" style="156" customWidth="1"/>
    <col min="2844" max="2844" width="13.42578125" style="156" customWidth="1"/>
    <col min="2845" max="2845" width="13" style="156" customWidth="1"/>
    <col min="2846" max="2846" width="13.7109375" style="156" customWidth="1"/>
    <col min="2847" max="2847" width="12.140625" style="156" customWidth="1"/>
    <col min="2848" max="2848" width="13.140625" style="156" customWidth="1"/>
    <col min="2849" max="2849" width="13.7109375" style="156" customWidth="1"/>
    <col min="2850" max="2850" width="12.5703125" style="156" customWidth="1"/>
    <col min="2851" max="2851" width="20.85546875" style="156" customWidth="1"/>
    <col min="2852" max="2852" width="13.85546875" style="156" customWidth="1"/>
    <col min="2853" max="2854" width="11.42578125" style="156"/>
    <col min="2855" max="2855" width="13.5703125" style="156" customWidth="1"/>
    <col min="2856" max="3072" width="9.140625" style="156"/>
    <col min="3073" max="3073" width="21.85546875" style="156" customWidth="1"/>
    <col min="3074" max="3074" width="3.7109375" style="156" customWidth="1"/>
    <col min="3075" max="3075" width="45.5703125" style="156" customWidth="1"/>
    <col min="3076" max="3078" width="9.140625" style="156" customWidth="1"/>
    <col min="3079" max="3079" width="14.140625" style="156" customWidth="1"/>
    <col min="3080" max="3080" width="9.140625" style="156" customWidth="1"/>
    <col min="3081" max="3081" width="12.7109375" style="156" customWidth="1"/>
    <col min="3082" max="3082" width="17.42578125" style="156" customWidth="1"/>
    <col min="3083" max="3083" width="13.7109375" style="156" customWidth="1"/>
    <col min="3084" max="3084" width="11.7109375" style="156" customWidth="1"/>
    <col min="3085" max="3085" width="12.42578125" style="156" customWidth="1"/>
    <col min="3086" max="3086" width="13" style="156" customWidth="1"/>
    <col min="3087" max="3087" width="11.42578125" style="156"/>
    <col min="3088" max="3088" width="13.28515625" style="156" customWidth="1"/>
    <col min="3089" max="3089" width="13.85546875" style="156" customWidth="1"/>
    <col min="3090" max="3090" width="11.42578125" style="156"/>
    <col min="3091" max="3091" width="15.42578125" style="156" customWidth="1"/>
    <col min="3092" max="3093" width="13.5703125" style="156" customWidth="1"/>
    <col min="3094" max="3094" width="15.85546875" style="156" customWidth="1"/>
    <col min="3095" max="3095" width="21.7109375" style="156" customWidth="1"/>
    <col min="3096" max="3096" width="18.28515625" style="156" customWidth="1"/>
    <col min="3097" max="3097" width="19.7109375" style="156" customWidth="1"/>
    <col min="3098" max="3098" width="20.5703125" style="156" customWidth="1"/>
    <col min="3099" max="3099" width="14" style="156" customWidth="1"/>
    <col min="3100" max="3100" width="13.42578125" style="156" customWidth="1"/>
    <col min="3101" max="3101" width="13" style="156" customWidth="1"/>
    <col min="3102" max="3102" width="13.7109375" style="156" customWidth="1"/>
    <col min="3103" max="3103" width="12.140625" style="156" customWidth="1"/>
    <col min="3104" max="3104" width="13.140625" style="156" customWidth="1"/>
    <col min="3105" max="3105" width="13.7109375" style="156" customWidth="1"/>
    <col min="3106" max="3106" width="12.5703125" style="156" customWidth="1"/>
    <col min="3107" max="3107" width="20.85546875" style="156" customWidth="1"/>
    <col min="3108" max="3108" width="13.85546875" style="156" customWidth="1"/>
    <col min="3109" max="3110" width="11.42578125" style="156"/>
    <col min="3111" max="3111" width="13.5703125" style="156" customWidth="1"/>
    <col min="3112" max="3328" width="11.42578125" style="156"/>
    <col min="3329" max="3329" width="21.85546875" style="156" customWidth="1"/>
    <col min="3330" max="3330" width="3.7109375" style="156" customWidth="1"/>
    <col min="3331" max="3331" width="45.5703125" style="156" customWidth="1"/>
    <col min="3332" max="3334" width="9.140625" style="156" customWidth="1"/>
    <col min="3335" max="3335" width="14.140625" style="156" customWidth="1"/>
    <col min="3336" max="3336" width="9.140625" style="156" customWidth="1"/>
    <col min="3337" max="3337" width="12.7109375" style="156" customWidth="1"/>
    <col min="3338" max="3338" width="17.42578125" style="156" customWidth="1"/>
    <col min="3339" max="3339" width="13.7109375" style="156" customWidth="1"/>
    <col min="3340" max="3340" width="11.7109375" style="156" customWidth="1"/>
    <col min="3341" max="3341" width="12.42578125" style="156" customWidth="1"/>
    <col min="3342" max="3342" width="13" style="156" customWidth="1"/>
    <col min="3343" max="3343" width="11.42578125" style="156"/>
    <col min="3344" max="3344" width="13.28515625" style="156" customWidth="1"/>
    <col min="3345" max="3345" width="13.85546875" style="156" customWidth="1"/>
    <col min="3346" max="3346" width="11.42578125" style="156"/>
    <col min="3347" max="3347" width="15.42578125" style="156" customWidth="1"/>
    <col min="3348" max="3349" width="13.5703125" style="156" customWidth="1"/>
    <col min="3350" max="3350" width="15.85546875" style="156" customWidth="1"/>
    <col min="3351" max="3351" width="21.7109375" style="156" customWidth="1"/>
    <col min="3352" max="3352" width="18.28515625" style="156" customWidth="1"/>
    <col min="3353" max="3353" width="19.7109375" style="156" customWidth="1"/>
    <col min="3354" max="3354" width="20.5703125" style="156" customWidth="1"/>
    <col min="3355" max="3355" width="14" style="156" customWidth="1"/>
    <col min="3356" max="3356" width="13.42578125" style="156" customWidth="1"/>
    <col min="3357" max="3357" width="13" style="156" customWidth="1"/>
    <col min="3358" max="3358" width="13.7109375" style="156" customWidth="1"/>
    <col min="3359" max="3359" width="12.140625" style="156" customWidth="1"/>
    <col min="3360" max="3360" width="13.140625" style="156" customWidth="1"/>
    <col min="3361" max="3361" width="13.7109375" style="156" customWidth="1"/>
    <col min="3362" max="3362" width="12.5703125" style="156" customWidth="1"/>
    <col min="3363" max="3363" width="20.85546875" style="156" customWidth="1"/>
    <col min="3364" max="3364" width="13.85546875" style="156" customWidth="1"/>
    <col min="3365" max="3366" width="11.42578125" style="156"/>
    <col min="3367" max="3367" width="13.5703125" style="156" customWidth="1"/>
    <col min="3368" max="3584" width="11.42578125" style="156"/>
    <col min="3585" max="3585" width="21.85546875" style="156" customWidth="1"/>
    <col min="3586" max="3586" width="3.7109375" style="156" customWidth="1"/>
    <col min="3587" max="3587" width="45.5703125" style="156" customWidth="1"/>
    <col min="3588" max="3590" width="9.140625" style="156" customWidth="1"/>
    <col min="3591" max="3591" width="14.140625" style="156" customWidth="1"/>
    <col min="3592" max="3592" width="9.140625" style="156" customWidth="1"/>
    <col min="3593" max="3593" width="12.7109375" style="156" customWidth="1"/>
    <col min="3594" max="3594" width="17.42578125" style="156" customWidth="1"/>
    <col min="3595" max="3595" width="13.7109375" style="156" customWidth="1"/>
    <col min="3596" max="3596" width="11.7109375" style="156" customWidth="1"/>
    <col min="3597" max="3597" width="12.42578125" style="156" customWidth="1"/>
    <col min="3598" max="3598" width="13" style="156" customWidth="1"/>
    <col min="3599" max="3599" width="11.42578125" style="156"/>
    <col min="3600" max="3600" width="13.28515625" style="156" customWidth="1"/>
    <col min="3601" max="3601" width="13.85546875" style="156" customWidth="1"/>
    <col min="3602" max="3602" width="11.42578125" style="156"/>
    <col min="3603" max="3603" width="15.42578125" style="156" customWidth="1"/>
    <col min="3604" max="3605" width="13.5703125" style="156" customWidth="1"/>
    <col min="3606" max="3606" width="15.85546875" style="156" customWidth="1"/>
    <col min="3607" max="3607" width="21.7109375" style="156" customWidth="1"/>
    <col min="3608" max="3608" width="18.28515625" style="156" customWidth="1"/>
    <col min="3609" max="3609" width="19.7109375" style="156" customWidth="1"/>
    <col min="3610" max="3610" width="20.5703125" style="156" customWidth="1"/>
    <col min="3611" max="3611" width="14" style="156" customWidth="1"/>
    <col min="3612" max="3612" width="13.42578125" style="156" customWidth="1"/>
    <col min="3613" max="3613" width="13" style="156" customWidth="1"/>
    <col min="3614" max="3614" width="13.7109375" style="156" customWidth="1"/>
    <col min="3615" max="3615" width="12.140625" style="156" customWidth="1"/>
    <col min="3616" max="3616" width="13.140625" style="156" customWidth="1"/>
    <col min="3617" max="3617" width="13.7109375" style="156" customWidth="1"/>
    <col min="3618" max="3618" width="12.5703125" style="156" customWidth="1"/>
    <col min="3619" max="3619" width="20.85546875" style="156" customWidth="1"/>
    <col min="3620" max="3620" width="13.85546875" style="156" customWidth="1"/>
    <col min="3621" max="3622" width="11.42578125" style="156"/>
    <col min="3623" max="3623" width="13.5703125" style="156" customWidth="1"/>
    <col min="3624" max="3840" width="11.42578125" style="156"/>
    <col min="3841" max="3841" width="21.85546875" style="156" customWidth="1"/>
    <col min="3842" max="3842" width="3.7109375" style="156" customWidth="1"/>
    <col min="3843" max="3843" width="45.5703125" style="156" customWidth="1"/>
    <col min="3844" max="3846" width="9.140625" style="156" customWidth="1"/>
    <col min="3847" max="3847" width="14.140625" style="156" customWidth="1"/>
    <col min="3848" max="3848" width="9.140625" style="156" customWidth="1"/>
    <col min="3849" max="3849" width="12.7109375" style="156" customWidth="1"/>
    <col min="3850" max="3850" width="17.42578125" style="156" customWidth="1"/>
    <col min="3851" max="3851" width="13.7109375" style="156" customWidth="1"/>
    <col min="3852" max="3852" width="11.7109375" style="156" customWidth="1"/>
    <col min="3853" max="3853" width="12.42578125" style="156" customWidth="1"/>
    <col min="3854" max="3854" width="13" style="156" customWidth="1"/>
    <col min="3855" max="3855" width="11.42578125" style="156"/>
    <col min="3856" max="3856" width="13.28515625" style="156" customWidth="1"/>
    <col min="3857" max="3857" width="13.85546875" style="156" customWidth="1"/>
    <col min="3858" max="3858" width="11.42578125" style="156"/>
    <col min="3859" max="3859" width="15.42578125" style="156" customWidth="1"/>
    <col min="3860" max="3861" width="13.5703125" style="156" customWidth="1"/>
    <col min="3862" max="3862" width="15.85546875" style="156" customWidth="1"/>
    <col min="3863" max="3863" width="21.7109375" style="156" customWidth="1"/>
    <col min="3864" max="3864" width="18.28515625" style="156" customWidth="1"/>
    <col min="3865" max="3865" width="19.7109375" style="156" customWidth="1"/>
    <col min="3866" max="3866" width="20.5703125" style="156" customWidth="1"/>
    <col min="3867" max="3867" width="14" style="156" customWidth="1"/>
    <col min="3868" max="3868" width="13.42578125" style="156" customWidth="1"/>
    <col min="3869" max="3869" width="13" style="156" customWidth="1"/>
    <col min="3870" max="3870" width="13.7109375" style="156" customWidth="1"/>
    <col min="3871" max="3871" width="12.140625" style="156" customWidth="1"/>
    <col min="3872" max="3872" width="13.140625" style="156" customWidth="1"/>
    <col min="3873" max="3873" width="13.7109375" style="156" customWidth="1"/>
    <col min="3874" max="3874" width="12.5703125" style="156" customWidth="1"/>
    <col min="3875" max="3875" width="20.85546875" style="156" customWidth="1"/>
    <col min="3876" max="3876" width="13.85546875" style="156" customWidth="1"/>
    <col min="3877" max="3878" width="11.42578125" style="156"/>
    <col min="3879" max="3879" width="13.5703125" style="156" customWidth="1"/>
    <col min="3880" max="4096" width="9.140625" style="156"/>
    <col min="4097" max="4097" width="21.85546875" style="156" customWidth="1"/>
    <col min="4098" max="4098" width="3.7109375" style="156" customWidth="1"/>
    <col min="4099" max="4099" width="45.5703125" style="156" customWidth="1"/>
    <col min="4100" max="4102" width="9.140625" style="156" customWidth="1"/>
    <col min="4103" max="4103" width="14.140625" style="156" customWidth="1"/>
    <col min="4104" max="4104" width="9.140625" style="156" customWidth="1"/>
    <col min="4105" max="4105" width="12.7109375" style="156" customWidth="1"/>
    <col min="4106" max="4106" width="17.42578125" style="156" customWidth="1"/>
    <col min="4107" max="4107" width="13.7109375" style="156" customWidth="1"/>
    <col min="4108" max="4108" width="11.7109375" style="156" customWidth="1"/>
    <col min="4109" max="4109" width="12.42578125" style="156" customWidth="1"/>
    <col min="4110" max="4110" width="13" style="156" customWidth="1"/>
    <col min="4111" max="4111" width="11.42578125" style="156"/>
    <col min="4112" max="4112" width="13.28515625" style="156" customWidth="1"/>
    <col min="4113" max="4113" width="13.85546875" style="156" customWidth="1"/>
    <col min="4114" max="4114" width="11.42578125" style="156"/>
    <col min="4115" max="4115" width="15.42578125" style="156" customWidth="1"/>
    <col min="4116" max="4117" width="13.5703125" style="156" customWidth="1"/>
    <col min="4118" max="4118" width="15.85546875" style="156" customWidth="1"/>
    <col min="4119" max="4119" width="21.7109375" style="156" customWidth="1"/>
    <col min="4120" max="4120" width="18.28515625" style="156" customWidth="1"/>
    <col min="4121" max="4121" width="19.7109375" style="156" customWidth="1"/>
    <col min="4122" max="4122" width="20.5703125" style="156" customWidth="1"/>
    <col min="4123" max="4123" width="14" style="156" customWidth="1"/>
    <col min="4124" max="4124" width="13.42578125" style="156" customWidth="1"/>
    <col min="4125" max="4125" width="13" style="156" customWidth="1"/>
    <col min="4126" max="4126" width="13.7109375" style="156" customWidth="1"/>
    <col min="4127" max="4127" width="12.140625" style="156" customWidth="1"/>
    <col min="4128" max="4128" width="13.140625" style="156" customWidth="1"/>
    <col min="4129" max="4129" width="13.7109375" style="156" customWidth="1"/>
    <col min="4130" max="4130" width="12.5703125" style="156" customWidth="1"/>
    <col min="4131" max="4131" width="20.85546875" style="156" customWidth="1"/>
    <col min="4132" max="4132" width="13.85546875" style="156" customWidth="1"/>
    <col min="4133" max="4134" width="11.42578125" style="156"/>
    <col min="4135" max="4135" width="13.5703125" style="156" customWidth="1"/>
    <col min="4136" max="4352" width="11.42578125" style="156"/>
    <col min="4353" max="4353" width="21.85546875" style="156" customWidth="1"/>
    <col min="4354" max="4354" width="3.7109375" style="156" customWidth="1"/>
    <col min="4355" max="4355" width="45.5703125" style="156" customWidth="1"/>
    <col min="4356" max="4358" width="9.140625" style="156" customWidth="1"/>
    <col min="4359" max="4359" width="14.140625" style="156" customWidth="1"/>
    <col min="4360" max="4360" width="9.140625" style="156" customWidth="1"/>
    <col min="4361" max="4361" width="12.7109375" style="156" customWidth="1"/>
    <col min="4362" max="4362" width="17.42578125" style="156" customWidth="1"/>
    <col min="4363" max="4363" width="13.7109375" style="156" customWidth="1"/>
    <col min="4364" max="4364" width="11.7109375" style="156" customWidth="1"/>
    <col min="4365" max="4365" width="12.42578125" style="156" customWidth="1"/>
    <col min="4366" max="4366" width="13" style="156" customWidth="1"/>
    <col min="4367" max="4367" width="11.42578125" style="156"/>
    <col min="4368" max="4368" width="13.28515625" style="156" customWidth="1"/>
    <col min="4369" max="4369" width="13.85546875" style="156" customWidth="1"/>
    <col min="4370" max="4370" width="11.42578125" style="156"/>
    <col min="4371" max="4371" width="15.42578125" style="156" customWidth="1"/>
    <col min="4372" max="4373" width="13.5703125" style="156" customWidth="1"/>
    <col min="4374" max="4374" width="15.85546875" style="156" customWidth="1"/>
    <col min="4375" max="4375" width="21.7109375" style="156" customWidth="1"/>
    <col min="4376" max="4376" width="18.28515625" style="156" customWidth="1"/>
    <col min="4377" max="4377" width="19.7109375" style="156" customWidth="1"/>
    <col min="4378" max="4378" width="20.5703125" style="156" customWidth="1"/>
    <col min="4379" max="4379" width="14" style="156" customWidth="1"/>
    <col min="4380" max="4380" width="13.42578125" style="156" customWidth="1"/>
    <col min="4381" max="4381" width="13" style="156" customWidth="1"/>
    <col min="4382" max="4382" width="13.7109375" style="156" customWidth="1"/>
    <col min="4383" max="4383" width="12.140625" style="156" customWidth="1"/>
    <col min="4384" max="4384" width="13.140625" style="156" customWidth="1"/>
    <col min="4385" max="4385" width="13.7109375" style="156" customWidth="1"/>
    <col min="4386" max="4386" width="12.5703125" style="156" customWidth="1"/>
    <col min="4387" max="4387" width="20.85546875" style="156" customWidth="1"/>
    <col min="4388" max="4388" width="13.85546875" style="156" customWidth="1"/>
    <col min="4389" max="4390" width="11.42578125" style="156"/>
    <col min="4391" max="4391" width="13.5703125" style="156" customWidth="1"/>
    <col min="4392" max="4608" width="11.42578125" style="156"/>
    <col min="4609" max="4609" width="21.85546875" style="156" customWidth="1"/>
    <col min="4610" max="4610" width="3.7109375" style="156" customWidth="1"/>
    <col min="4611" max="4611" width="45.5703125" style="156" customWidth="1"/>
    <col min="4612" max="4614" width="9.140625" style="156" customWidth="1"/>
    <col min="4615" max="4615" width="14.140625" style="156" customWidth="1"/>
    <col min="4616" max="4616" width="9.140625" style="156" customWidth="1"/>
    <col min="4617" max="4617" width="12.7109375" style="156" customWidth="1"/>
    <col min="4618" max="4618" width="17.42578125" style="156" customWidth="1"/>
    <col min="4619" max="4619" width="13.7109375" style="156" customWidth="1"/>
    <col min="4620" max="4620" width="11.7109375" style="156" customWidth="1"/>
    <col min="4621" max="4621" width="12.42578125" style="156" customWidth="1"/>
    <col min="4622" max="4622" width="13" style="156" customWidth="1"/>
    <col min="4623" max="4623" width="11.42578125" style="156"/>
    <col min="4624" max="4624" width="13.28515625" style="156" customWidth="1"/>
    <col min="4625" max="4625" width="13.85546875" style="156" customWidth="1"/>
    <col min="4626" max="4626" width="11.42578125" style="156"/>
    <col min="4627" max="4627" width="15.42578125" style="156" customWidth="1"/>
    <col min="4628" max="4629" width="13.5703125" style="156" customWidth="1"/>
    <col min="4630" max="4630" width="15.85546875" style="156" customWidth="1"/>
    <col min="4631" max="4631" width="21.7109375" style="156" customWidth="1"/>
    <col min="4632" max="4632" width="18.28515625" style="156" customWidth="1"/>
    <col min="4633" max="4633" width="19.7109375" style="156" customWidth="1"/>
    <col min="4634" max="4634" width="20.5703125" style="156" customWidth="1"/>
    <col min="4635" max="4635" width="14" style="156" customWidth="1"/>
    <col min="4636" max="4636" width="13.42578125" style="156" customWidth="1"/>
    <col min="4637" max="4637" width="13" style="156" customWidth="1"/>
    <col min="4638" max="4638" width="13.7109375" style="156" customWidth="1"/>
    <col min="4639" max="4639" width="12.140625" style="156" customWidth="1"/>
    <col min="4640" max="4640" width="13.140625" style="156" customWidth="1"/>
    <col min="4641" max="4641" width="13.7109375" style="156" customWidth="1"/>
    <col min="4642" max="4642" width="12.5703125" style="156" customWidth="1"/>
    <col min="4643" max="4643" width="20.85546875" style="156" customWidth="1"/>
    <col min="4644" max="4644" width="13.85546875" style="156" customWidth="1"/>
    <col min="4645" max="4646" width="11.42578125" style="156"/>
    <col min="4647" max="4647" width="13.5703125" style="156" customWidth="1"/>
    <col min="4648" max="4864" width="11.42578125" style="156"/>
    <col min="4865" max="4865" width="21.85546875" style="156" customWidth="1"/>
    <col min="4866" max="4866" width="3.7109375" style="156" customWidth="1"/>
    <col min="4867" max="4867" width="45.5703125" style="156" customWidth="1"/>
    <col min="4868" max="4870" width="9.140625" style="156" customWidth="1"/>
    <col min="4871" max="4871" width="14.140625" style="156" customWidth="1"/>
    <col min="4872" max="4872" width="9.140625" style="156" customWidth="1"/>
    <col min="4873" max="4873" width="12.7109375" style="156" customWidth="1"/>
    <col min="4874" max="4874" width="17.42578125" style="156" customWidth="1"/>
    <col min="4875" max="4875" width="13.7109375" style="156" customWidth="1"/>
    <col min="4876" max="4876" width="11.7109375" style="156" customWidth="1"/>
    <col min="4877" max="4877" width="12.42578125" style="156" customWidth="1"/>
    <col min="4878" max="4878" width="13" style="156" customWidth="1"/>
    <col min="4879" max="4879" width="11.42578125" style="156"/>
    <col min="4880" max="4880" width="13.28515625" style="156" customWidth="1"/>
    <col min="4881" max="4881" width="13.85546875" style="156" customWidth="1"/>
    <col min="4882" max="4882" width="11.42578125" style="156"/>
    <col min="4883" max="4883" width="15.42578125" style="156" customWidth="1"/>
    <col min="4884" max="4885" width="13.5703125" style="156" customWidth="1"/>
    <col min="4886" max="4886" width="15.85546875" style="156" customWidth="1"/>
    <col min="4887" max="4887" width="21.7109375" style="156" customWidth="1"/>
    <col min="4888" max="4888" width="18.28515625" style="156" customWidth="1"/>
    <col min="4889" max="4889" width="19.7109375" style="156" customWidth="1"/>
    <col min="4890" max="4890" width="20.5703125" style="156" customWidth="1"/>
    <col min="4891" max="4891" width="14" style="156" customWidth="1"/>
    <col min="4892" max="4892" width="13.42578125" style="156" customWidth="1"/>
    <col min="4893" max="4893" width="13" style="156" customWidth="1"/>
    <col min="4894" max="4894" width="13.7109375" style="156" customWidth="1"/>
    <col min="4895" max="4895" width="12.140625" style="156" customWidth="1"/>
    <col min="4896" max="4896" width="13.140625" style="156" customWidth="1"/>
    <col min="4897" max="4897" width="13.7109375" style="156" customWidth="1"/>
    <col min="4898" max="4898" width="12.5703125" style="156" customWidth="1"/>
    <col min="4899" max="4899" width="20.85546875" style="156" customWidth="1"/>
    <col min="4900" max="4900" width="13.85546875" style="156" customWidth="1"/>
    <col min="4901" max="4902" width="11.42578125" style="156"/>
    <col min="4903" max="4903" width="13.5703125" style="156" customWidth="1"/>
    <col min="4904" max="5120" width="9.140625" style="156"/>
    <col min="5121" max="5121" width="21.85546875" style="156" customWidth="1"/>
    <col min="5122" max="5122" width="3.7109375" style="156" customWidth="1"/>
    <col min="5123" max="5123" width="45.5703125" style="156" customWidth="1"/>
    <col min="5124" max="5126" width="9.140625" style="156" customWidth="1"/>
    <col min="5127" max="5127" width="14.140625" style="156" customWidth="1"/>
    <col min="5128" max="5128" width="9.140625" style="156" customWidth="1"/>
    <col min="5129" max="5129" width="12.7109375" style="156" customWidth="1"/>
    <col min="5130" max="5130" width="17.42578125" style="156" customWidth="1"/>
    <col min="5131" max="5131" width="13.7109375" style="156" customWidth="1"/>
    <col min="5132" max="5132" width="11.7109375" style="156" customWidth="1"/>
    <col min="5133" max="5133" width="12.42578125" style="156" customWidth="1"/>
    <col min="5134" max="5134" width="13" style="156" customWidth="1"/>
    <col min="5135" max="5135" width="11.42578125" style="156"/>
    <col min="5136" max="5136" width="13.28515625" style="156" customWidth="1"/>
    <col min="5137" max="5137" width="13.85546875" style="156" customWidth="1"/>
    <col min="5138" max="5138" width="11.42578125" style="156"/>
    <col min="5139" max="5139" width="15.42578125" style="156" customWidth="1"/>
    <col min="5140" max="5141" width="13.5703125" style="156" customWidth="1"/>
    <col min="5142" max="5142" width="15.85546875" style="156" customWidth="1"/>
    <col min="5143" max="5143" width="21.7109375" style="156" customWidth="1"/>
    <col min="5144" max="5144" width="18.28515625" style="156" customWidth="1"/>
    <col min="5145" max="5145" width="19.7109375" style="156" customWidth="1"/>
    <col min="5146" max="5146" width="20.5703125" style="156" customWidth="1"/>
    <col min="5147" max="5147" width="14" style="156" customWidth="1"/>
    <col min="5148" max="5148" width="13.42578125" style="156" customWidth="1"/>
    <col min="5149" max="5149" width="13" style="156" customWidth="1"/>
    <col min="5150" max="5150" width="13.7109375" style="156" customWidth="1"/>
    <col min="5151" max="5151" width="12.140625" style="156" customWidth="1"/>
    <col min="5152" max="5152" width="13.140625" style="156" customWidth="1"/>
    <col min="5153" max="5153" width="13.7109375" style="156" customWidth="1"/>
    <col min="5154" max="5154" width="12.5703125" style="156" customWidth="1"/>
    <col min="5155" max="5155" width="20.85546875" style="156" customWidth="1"/>
    <col min="5156" max="5156" width="13.85546875" style="156" customWidth="1"/>
    <col min="5157" max="5158" width="11.42578125" style="156"/>
    <col min="5159" max="5159" width="13.5703125" style="156" customWidth="1"/>
    <col min="5160" max="5376" width="11.42578125" style="156"/>
    <col min="5377" max="5377" width="21.85546875" style="156" customWidth="1"/>
    <col min="5378" max="5378" width="3.7109375" style="156" customWidth="1"/>
    <col min="5379" max="5379" width="45.5703125" style="156" customWidth="1"/>
    <col min="5380" max="5382" width="9.140625" style="156" customWidth="1"/>
    <col min="5383" max="5383" width="14.140625" style="156" customWidth="1"/>
    <col min="5384" max="5384" width="9.140625" style="156" customWidth="1"/>
    <col min="5385" max="5385" width="12.7109375" style="156" customWidth="1"/>
    <col min="5386" max="5386" width="17.42578125" style="156" customWidth="1"/>
    <col min="5387" max="5387" width="13.7109375" style="156" customWidth="1"/>
    <col min="5388" max="5388" width="11.7109375" style="156" customWidth="1"/>
    <col min="5389" max="5389" width="12.42578125" style="156" customWidth="1"/>
    <col min="5390" max="5390" width="13" style="156" customWidth="1"/>
    <col min="5391" max="5391" width="11.42578125" style="156"/>
    <col min="5392" max="5392" width="13.28515625" style="156" customWidth="1"/>
    <col min="5393" max="5393" width="13.85546875" style="156" customWidth="1"/>
    <col min="5394" max="5394" width="11.42578125" style="156"/>
    <col min="5395" max="5395" width="15.42578125" style="156" customWidth="1"/>
    <col min="5396" max="5397" width="13.5703125" style="156" customWidth="1"/>
    <col min="5398" max="5398" width="15.85546875" style="156" customWidth="1"/>
    <col min="5399" max="5399" width="21.7109375" style="156" customWidth="1"/>
    <col min="5400" max="5400" width="18.28515625" style="156" customWidth="1"/>
    <col min="5401" max="5401" width="19.7109375" style="156" customWidth="1"/>
    <col min="5402" max="5402" width="20.5703125" style="156" customWidth="1"/>
    <col min="5403" max="5403" width="14" style="156" customWidth="1"/>
    <col min="5404" max="5404" width="13.42578125" style="156" customWidth="1"/>
    <col min="5405" max="5405" width="13" style="156" customWidth="1"/>
    <col min="5406" max="5406" width="13.7109375" style="156" customWidth="1"/>
    <col min="5407" max="5407" width="12.140625" style="156" customWidth="1"/>
    <col min="5408" max="5408" width="13.140625" style="156" customWidth="1"/>
    <col min="5409" max="5409" width="13.7109375" style="156" customWidth="1"/>
    <col min="5410" max="5410" width="12.5703125" style="156" customWidth="1"/>
    <col min="5411" max="5411" width="20.85546875" style="156" customWidth="1"/>
    <col min="5412" max="5412" width="13.85546875" style="156" customWidth="1"/>
    <col min="5413" max="5414" width="11.42578125" style="156"/>
    <col min="5415" max="5415" width="13.5703125" style="156" customWidth="1"/>
    <col min="5416" max="5632" width="11.42578125" style="156"/>
    <col min="5633" max="5633" width="21.85546875" style="156" customWidth="1"/>
    <col min="5634" max="5634" width="3.7109375" style="156" customWidth="1"/>
    <col min="5635" max="5635" width="45.5703125" style="156" customWidth="1"/>
    <col min="5636" max="5638" width="9.140625" style="156" customWidth="1"/>
    <col min="5639" max="5639" width="14.140625" style="156" customWidth="1"/>
    <col min="5640" max="5640" width="9.140625" style="156" customWidth="1"/>
    <col min="5641" max="5641" width="12.7109375" style="156" customWidth="1"/>
    <col min="5642" max="5642" width="17.42578125" style="156" customWidth="1"/>
    <col min="5643" max="5643" width="13.7109375" style="156" customWidth="1"/>
    <col min="5644" max="5644" width="11.7109375" style="156" customWidth="1"/>
    <col min="5645" max="5645" width="12.42578125" style="156" customWidth="1"/>
    <col min="5646" max="5646" width="13" style="156" customWidth="1"/>
    <col min="5647" max="5647" width="11.42578125" style="156"/>
    <col min="5648" max="5648" width="13.28515625" style="156" customWidth="1"/>
    <col min="5649" max="5649" width="13.85546875" style="156" customWidth="1"/>
    <col min="5650" max="5650" width="11.42578125" style="156"/>
    <col min="5651" max="5651" width="15.42578125" style="156" customWidth="1"/>
    <col min="5652" max="5653" width="13.5703125" style="156" customWidth="1"/>
    <col min="5654" max="5654" width="15.85546875" style="156" customWidth="1"/>
    <col min="5655" max="5655" width="21.7109375" style="156" customWidth="1"/>
    <col min="5656" max="5656" width="18.28515625" style="156" customWidth="1"/>
    <col min="5657" max="5657" width="19.7109375" style="156" customWidth="1"/>
    <col min="5658" max="5658" width="20.5703125" style="156" customWidth="1"/>
    <col min="5659" max="5659" width="14" style="156" customWidth="1"/>
    <col min="5660" max="5660" width="13.42578125" style="156" customWidth="1"/>
    <col min="5661" max="5661" width="13" style="156" customWidth="1"/>
    <col min="5662" max="5662" width="13.7109375" style="156" customWidth="1"/>
    <col min="5663" max="5663" width="12.140625" style="156" customWidth="1"/>
    <col min="5664" max="5664" width="13.140625" style="156" customWidth="1"/>
    <col min="5665" max="5665" width="13.7109375" style="156" customWidth="1"/>
    <col min="5666" max="5666" width="12.5703125" style="156" customWidth="1"/>
    <col min="5667" max="5667" width="20.85546875" style="156" customWidth="1"/>
    <col min="5668" max="5668" width="13.85546875" style="156" customWidth="1"/>
    <col min="5669" max="5670" width="11.42578125" style="156"/>
    <col min="5671" max="5671" width="13.5703125" style="156" customWidth="1"/>
    <col min="5672" max="5888" width="11.42578125" style="156"/>
    <col min="5889" max="5889" width="21.85546875" style="156" customWidth="1"/>
    <col min="5890" max="5890" width="3.7109375" style="156" customWidth="1"/>
    <col min="5891" max="5891" width="45.5703125" style="156" customWidth="1"/>
    <col min="5892" max="5894" width="9.140625" style="156" customWidth="1"/>
    <col min="5895" max="5895" width="14.140625" style="156" customWidth="1"/>
    <col min="5896" max="5896" width="9.140625" style="156" customWidth="1"/>
    <col min="5897" max="5897" width="12.7109375" style="156" customWidth="1"/>
    <col min="5898" max="5898" width="17.42578125" style="156" customWidth="1"/>
    <col min="5899" max="5899" width="13.7109375" style="156" customWidth="1"/>
    <col min="5900" max="5900" width="11.7109375" style="156" customWidth="1"/>
    <col min="5901" max="5901" width="12.42578125" style="156" customWidth="1"/>
    <col min="5902" max="5902" width="13" style="156" customWidth="1"/>
    <col min="5903" max="5903" width="11.42578125" style="156"/>
    <col min="5904" max="5904" width="13.28515625" style="156" customWidth="1"/>
    <col min="5905" max="5905" width="13.85546875" style="156" customWidth="1"/>
    <col min="5906" max="5906" width="11.42578125" style="156"/>
    <col min="5907" max="5907" width="15.42578125" style="156" customWidth="1"/>
    <col min="5908" max="5909" width="13.5703125" style="156" customWidth="1"/>
    <col min="5910" max="5910" width="15.85546875" style="156" customWidth="1"/>
    <col min="5911" max="5911" width="21.7109375" style="156" customWidth="1"/>
    <col min="5912" max="5912" width="18.28515625" style="156" customWidth="1"/>
    <col min="5913" max="5913" width="19.7109375" style="156" customWidth="1"/>
    <col min="5914" max="5914" width="20.5703125" style="156" customWidth="1"/>
    <col min="5915" max="5915" width="14" style="156" customWidth="1"/>
    <col min="5916" max="5916" width="13.42578125" style="156" customWidth="1"/>
    <col min="5917" max="5917" width="13" style="156" customWidth="1"/>
    <col min="5918" max="5918" width="13.7109375" style="156" customWidth="1"/>
    <col min="5919" max="5919" width="12.140625" style="156" customWidth="1"/>
    <col min="5920" max="5920" width="13.140625" style="156" customWidth="1"/>
    <col min="5921" max="5921" width="13.7109375" style="156" customWidth="1"/>
    <col min="5922" max="5922" width="12.5703125" style="156" customWidth="1"/>
    <col min="5923" max="5923" width="20.85546875" style="156" customWidth="1"/>
    <col min="5924" max="5924" width="13.85546875" style="156" customWidth="1"/>
    <col min="5925" max="5926" width="11.42578125" style="156"/>
    <col min="5927" max="5927" width="13.5703125" style="156" customWidth="1"/>
    <col min="5928" max="6144" width="9.140625" style="156"/>
    <col min="6145" max="6145" width="21.85546875" style="156" customWidth="1"/>
    <col min="6146" max="6146" width="3.7109375" style="156" customWidth="1"/>
    <col min="6147" max="6147" width="45.5703125" style="156" customWidth="1"/>
    <col min="6148" max="6150" width="9.140625" style="156" customWidth="1"/>
    <col min="6151" max="6151" width="14.140625" style="156" customWidth="1"/>
    <col min="6152" max="6152" width="9.140625" style="156" customWidth="1"/>
    <col min="6153" max="6153" width="12.7109375" style="156" customWidth="1"/>
    <col min="6154" max="6154" width="17.42578125" style="156" customWidth="1"/>
    <col min="6155" max="6155" width="13.7109375" style="156" customWidth="1"/>
    <col min="6156" max="6156" width="11.7109375" style="156" customWidth="1"/>
    <col min="6157" max="6157" width="12.42578125" style="156" customWidth="1"/>
    <col min="6158" max="6158" width="13" style="156" customWidth="1"/>
    <col min="6159" max="6159" width="11.42578125" style="156"/>
    <col min="6160" max="6160" width="13.28515625" style="156" customWidth="1"/>
    <col min="6161" max="6161" width="13.85546875" style="156" customWidth="1"/>
    <col min="6162" max="6162" width="11.42578125" style="156"/>
    <col min="6163" max="6163" width="15.42578125" style="156" customWidth="1"/>
    <col min="6164" max="6165" width="13.5703125" style="156" customWidth="1"/>
    <col min="6166" max="6166" width="15.85546875" style="156" customWidth="1"/>
    <col min="6167" max="6167" width="21.7109375" style="156" customWidth="1"/>
    <col min="6168" max="6168" width="18.28515625" style="156" customWidth="1"/>
    <col min="6169" max="6169" width="19.7109375" style="156" customWidth="1"/>
    <col min="6170" max="6170" width="20.5703125" style="156" customWidth="1"/>
    <col min="6171" max="6171" width="14" style="156" customWidth="1"/>
    <col min="6172" max="6172" width="13.42578125" style="156" customWidth="1"/>
    <col min="6173" max="6173" width="13" style="156" customWidth="1"/>
    <col min="6174" max="6174" width="13.7109375" style="156" customWidth="1"/>
    <col min="6175" max="6175" width="12.140625" style="156" customWidth="1"/>
    <col min="6176" max="6176" width="13.140625" style="156" customWidth="1"/>
    <col min="6177" max="6177" width="13.7109375" style="156" customWidth="1"/>
    <col min="6178" max="6178" width="12.5703125" style="156" customWidth="1"/>
    <col min="6179" max="6179" width="20.85546875" style="156" customWidth="1"/>
    <col min="6180" max="6180" width="13.85546875" style="156" customWidth="1"/>
    <col min="6181" max="6182" width="11.42578125" style="156"/>
    <col min="6183" max="6183" width="13.5703125" style="156" customWidth="1"/>
    <col min="6184" max="6400" width="11.42578125" style="156"/>
    <col min="6401" max="6401" width="21.85546875" style="156" customWidth="1"/>
    <col min="6402" max="6402" width="3.7109375" style="156" customWidth="1"/>
    <col min="6403" max="6403" width="45.5703125" style="156" customWidth="1"/>
    <col min="6404" max="6406" width="9.140625" style="156" customWidth="1"/>
    <col min="6407" max="6407" width="14.140625" style="156" customWidth="1"/>
    <col min="6408" max="6408" width="9.140625" style="156" customWidth="1"/>
    <col min="6409" max="6409" width="12.7109375" style="156" customWidth="1"/>
    <col min="6410" max="6410" width="17.42578125" style="156" customWidth="1"/>
    <col min="6411" max="6411" width="13.7109375" style="156" customWidth="1"/>
    <col min="6412" max="6412" width="11.7109375" style="156" customWidth="1"/>
    <col min="6413" max="6413" width="12.42578125" style="156" customWidth="1"/>
    <col min="6414" max="6414" width="13" style="156" customWidth="1"/>
    <col min="6415" max="6415" width="11.42578125" style="156"/>
    <col min="6416" max="6416" width="13.28515625" style="156" customWidth="1"/>
    <col min="6417" max="6417" width="13.85546875" style="156" customWidth="1"/>
    <col min="6418" max="6418" width="11.42578125" style="156"/>
    <col min="6419" max="6419" width="15.42578125" style="156" customWidth="1"/>
    <col min="6420" max="6421" width="13.5703125" style="156" customWidth="1"/>
    <col min="6422" max="6422" width="15.85546875" style="156" customWidth="1"/>
    <col min="6423" max="6423" width="21.7109375" style="156" customWidth="1"/>
    <col min="6424" max="6424" width="18.28515625" style="156" customWidth="1"/>
    <col min="6425" max="6425" width="19.7109375" style="156" customWidth="1"/>
    <col min="6426" max="6426" width="20.5703125" style="156" customWidth="1"/>
    <col min="6427" max="6427" width="14" style="156" customWidth="1"/>
    <col min="6428" max="6428" width="13.42578125" style="156" customWidth="1"/>
    <col min="6429" max="6429" width="13" style="156" customWidth="1"/>
    <col min="6430" max="6430" width="13.7109375" style="156" customWidth="1"/>
    <col min="6431" max="6431" width="12.140625" style="156" customWidth="1"/>
    <col min="6432" max="6432" width="13.140625" style="156" customWidth="1"/>
    <col min="6433" max="6433" width="13.7109375" style="156" customWidth="1"/>
    <col min="6434" max="6434" width="12.5703125" style="156" customWidth="1"/>
    <col min="6435" max="6435" width="20.85546875" style="156" customWidth="1"/>
    <col min="6436" max="6436" width="13.85546875" style="156" customWidth="1"/>
    <col min="6437" max="6438" width="11.42578125" style="156"/>
    <col min="6439" max="6439" width="13.5703125" style="156" customWidth="1"/>
    <col min="6440" max="6656" width="11.42578125" style="156"/>
    <col min="6657" max="6657" width="21.85546875" style="156" customWidth="1"/>
    <col min="6658" max="6658" width="3.7109375" style="156" customWidth="1"/>
    <col min="6659" max="6659" width="45.5703125" style="156" customWidth="1"/>
    <col min="6660" max="6662" width="9.140625" style="156" customWidth="1"/>
    <col min="6663" max="6663" width="14.140625" style="156" customWidth="1"/>
    <col min="6664" max="6664" width="9.140625" style="156" customWidth="1"/>
    <col min="6665" max="6665" width="12.7109375" style="156" customWidth="1"/>
    <col min="6666" max="6666" width="17.42578125" style="156" customWidth="1"/>
    <col min="6667" max="6667" width="13.7109375" style="156" customWidth="1"/>
    <col min="6668" max="6668" width="11.7109375" style="156" customWidth="1"/>
    <col min="6669" max="6669" width="12.42578125" style="156" customWidth="1"/>
    <col min="6670" max="6670" width="13" style="156" customWidth="1"/>
    <col min="6671" max="6671" width="11.42578125" style="156"/>
    <col min="6672" max="6672" width="13.28515625" style="156" customWidth="1"/>
    <col min="6673" max="6673" width="13.85546875" style="156" customWidth="1"/>
    <col min="6674" max="6674" width="11.42578125" style="156"/>
    <col min="6675" max="6675" width="15.42578125" style="156" customWidth="1"/>
    <col min="6676" max="6677" width="13.5703125" style="156" customWidth="1"/>
    <col min="6678" max="6678" width="15.85546875" style="156" customWidth="1"/>
    <col min="6679" max="6679" width="21.7109375" style="156" customWidth="1"/>
    <col min="6680" max="6680" width="18.28515625" style="156" customWidth="1"/>
    <col min="6681" max="6681" width="19.7109375" style="156" customWidth="1"/>
    <col min="6682" max="6682" width="20.5703125" style="156" customWidth="1"/>
    <col min="6683" max="6683" width="14" style="156" customWidth="1"/>
    <col min="6684" max="6684" width="13.42578125" style="156" customWidth="1"/>
    <col min="6685" max="6685" width="13" style="156" customWidth="1"/>
    <col min="6686" max="6686" width="13.7109375" style="156" customWidth="1"/>
    <col min="6687" max="6687" width="12.140625" style="156" customWidth="1"/>
    <col min="6688" max="6688" width="13.140625" style="156" customWidth="1"/>
    <col min="6689" max="6689" width="13.7109375" style="156" customWidth="1"/>
    <col min="6690" max="6690" width="12.5703125" style="156" customWidth="1"/>
    <col min="6691" max="6691" width="20.85546875" style="156" customWidth="1"/>
    <col min="6692" max="6692" width="13.85546875" style="156" customWidth="1"/>
    <col min="6693" max="6694" width="11.42578125" style="156"/>
    <col min="6695" max="6695" width="13.5703125" style="156" customWidth="1"/>
    <col min="6696" max="6912" width="11.42578125" style="156"/>
    <col min="6913" max="6913" width="21.85546875" style="156" customWidth="1"/>
    <col min="6914" max="6914" width="3.7109375" style="156" customWidth="1"/>
    <col min="6915" max="6915" width="45.5703125" style="156" customWidth="1"/>
    <col min="6916" max="6918" width="9.140625" style="156" customWidth="1"/>
    <col min="6919" max="6919" width="14.140625" style="156" customWidth="1"/>
    <col min="6920" max="6920" width="9.140625" style="156" customWidth="1"/>
    <col min="6921" max="6921" width="12.7109375" style="156" customWidth="1"/>
    <col min="6922" max="6922" width="17.42578125" style="156" customWidth="1"/>
    <col min="6923" max="6923" width="13.7109375" style="156" customWidth="1"/>
    <col min="6924" max="6924" width="11.7109375" style="156" customWidth="1"/>
    <col min="6925" max="6925" width="12.42578125" style="156" customWidth="1"/>
    <col min="6926" max="6926" width="13" style="156" customWidth="1"/>
    <col min="6927" max="6927" width="11.42578125" style="156"/>
    <col min="6928" max="6928" width="13.28515625" style="156" customWidth="1"/>
    <col min="6929" max="6929" width="13.85546875" style="156" customWidth="1"/>
    <col min="6930" max="6930" width="11.42578125" style="156"/>
    <col min="6931" max="6931" width="15.42578125" style="156" customWidth="1"/>
    <col min="6932" max="6933" width="13.5703125" style="156" customWidth="1"/>
    <col min="6934" max="6934" width="15.85546875" style="156" customWidth="1"/>
    <col min="6935" max="6935" width="21.7109375" style="156" customWidth="1"/>
    <col min="6936" max="6936" width="18.28515625" style="156" customWidth="1"/>
    <col min="6937" max="6937" width="19.7109375" style="156" customWidth="1"/>
    <col min="6938" max="6938" width="20.5703125" style="156" customWidth="1"/>
    <col min="6939" max="6939" width="14" style="156" customWidth="1"/>
    <col min="6940" max="6940" width="13.42578125" style="156" customWidth="1"/>
    <col min="6941" max="6941" width="13" style="156" customWidth="1"/>
    <col min="6942" max="6942" width="13.7109375" style="156" customWidth="1"/>
    <col min="6943" max="6943" width="12.140625" style="156" customWidth="1"/>
    <col min="6944" max="6944" width="13.140625" style="156" customWidth="1"/>
    <col min="6945" max="6945" width="13.7109375" style="156" customWidth="1"/>
    <col min="6946" max="6946" width="12.5703125" style="156" customWidth="1"/>
    <col min="6947" max="6947" width="20.85546875" style="156" customWidth="1"/>
    <col min="6948" max="6948" width="13.85546875" style="156" customWidth="1"/>
    <col min="6949" max="6950" width="11.42578125" style="156"/>
    <col min="6951" max="6951" width="13.5703125" style="156" customWidth="1"/>
    <col min="6952" max="7168" width="9.140625" style="156"/>
    <col min="7169" max="7169" width="21.85546875" style="156" customWidth="1"/>
    <col min="7170" max="7170" width="3.7109375" style="156" customWidth="1"/>
    <col min="7171" max="7171" width="45.5703125" style="156" customWidth="1"/>
    <col min="7172" max="7174" width="9.140625" style="156" customWidth="1"/>
    <col min="7175" max="7175" width="14.140625" style="156" customWidth="1"/>
    <col min="7176" max="7176" width="9.140625" style="156" customWidth="1"/>
    <col min="7177" max="7177" width="12.7109375" style="156" customWidth="1"/>
    <col min="7178" max="7178" width="17.42578125" style="156" customWidth="1"/>
    <col min="7179" max="7179" width="13.7109375" style="156" customWidth="1"/>
    <col min="7180" max="7180" width="11.7109375" style="156" customWidth="1"/>
    <col min="7181" max="7181" width="12.42578125" style="156" customWidth="1"/>
    <col min="7182" max="7182" width="13" style="156" customWidth="1"/>
    <col min="7183" max="7183" width="11.42578125" style="156"/>
    <col min="7184" max="7184" width="13.28515625" style="156" customWidth="1"/>
    <col min="7185" max="7185" width="13.85546875" style="156" customWidth="1"/>
    <col min="7186" max="7186" width="11.42578125" style="156"/>
    <col min="7187" max="7187" width="15.42578125" style="156" customWidth="1"/>
    <col min="7188" max="7189" width="13.5703125" style="156" customWidth="1"/>
    <col min="7190" max="7190" width="15.85546875" style="156" customWidth="1"/>
    <col min="7191" max="7191" width="21.7109375" style="156" customWidth="1"/>
    <col min="7192" max="7192" width="18.28515625" style="156" customWidth="1"/>
    <col min="7193" max="7193" width="19.7109375" style="156" customWidth="1"/>
    <col min="7194" max="7194" width="20.5703125" style="156" customWidth="1"/>
    <col min="7195" max="7195" width="14" style="156" customWidth="1"/>
    <col min="7196" max="7196" width="13.42578125" style="156" customWidth="1"/>
    <col min="7197" max="7197" width="13" style="156" customWidth="1"/>
    <col min="7198" max="7198" width="13.7109375" style="156" customWidth="1"/>
    <col min="7199" max="7199" width="12.140625" style="156" customWidth="1"/>
    <col min="7200" max="7200" width="13.140625" style="156" customWidth="1"/>
    <col min="7201" max="7201" width="13.7109375" style="156" customWidth="1"/>
    <col min="7202" max="7202" width="12.5703125" style="156" customWidth="1"/>
    <col min="7203" max="7203" width="20.85546875" style="156" customWidth="1"/>
    <col min="7204" max="7204" width="13.85546875" style="156" customWidth="1"/>
    <col min="7205" max="7206" width="11.42578125" style="156"/>
    <col min="7207" max="7207" width="13.5703125" style="156" customWidth="1"/>
    <col min="7208" max="7424" width="11.42578125" style="156"/>
    <col min="7425" max="7425" width="21.85546875" style="156" customWidth="1"/>
    <col min="7426" max="7426" width="3.7109375" style="156" customWidth="1"/>
    <col min="7427" max="7427" width="45.5703125" style="156" customWidth="1"/>
    <col min="7428" max="7430" width="9.140625" style="156" customWidth="1"/>
    <col min="7431" max="7431" width="14.140625" style="156" customWidth="1"/>
    <col min="7432" max="7432" width="9.140625" style="156" customWidth="1"/>
    <col min="7433" max="7433" width="12.7109375" style="156" customWidth="1"/>
    <col min="7434" max="7434" width="17.42578125" style="156" customWidth="1"/>
    <col min="7435" max="7435" width="13.7109375" style="156" customWidth="1"/>
    <col min="7436" max="7436" width="11.7109375" style="156" customWidth="1"/>
    <col min="7437" max="7437" width="12.42578125" style="156" customWidth="1"/>
    <col min="7438" max="7438" width="13" style="156" customWidth="1"/>
    <col min="7439" max="7439" width="11.42578125" style="156"/>
    <col min="7440" max="7440" width="13.28515625" style="156" customWidth="1"/>
    <col min="7441" max="7441" width="13.85546875" style="156" customWidth="1"/>
    <col min="7442" max="7442" width="11.42578125" style="156"/>
    <col min="7443" max="7443" width="15.42578125" style="156" customWidth="1"/>
    <col min="7444" max="7445" width="13.5703125" style="156" customWidth="1"/>
    <col min="7446" max="7446" width="15.85546875" style="156" customWidth="1"/>
    <col min="7447" max="7447" width="21.7109375" style="156" customWidth="1"/>
    <col min="7448" max="7448" width="18.28515625" style="156" customWidth="1"/>
    <col min="7449" max="7449" width="19.7109375" style="156" customWidth="1"/>
    <col min="7450" max="7450" width="20.5703125" style="156" customWidth="1"/>
    <col min="7451" max="7451" width="14" style="156" customWidth="1"/>
    <col min="7452" max="7452" width="13.42578125" style="156" customWidth="1"/>
    <col min="7453" max="7453" width="13" style="156" customWidth="1"/>
    <col min="7454" max="7454" width="13.7109375" style="156" customWidth="1"/>
    <col min="7455" max="7455" width="12.140625" style="156" customWidth="1"/>
    <col min="7456" max="7456" width="13.140625" style="156" customWidth="1"/>
    <col min="7457" max="7457" width="13.7109375" style="156" customWidth="1"/>
    <col min="7458" max="7458" width="12.5703125" style="156" customWidth="1"/>
    <col min="7459" max="7459" width="20.85546875" style="156" customWidth="1"/>
    <col min="7460" max="7460" width="13.85546875" style="156" customWidth="1"/>
    <col min="7461" max="7462" width="11.42578125" style="156"/>
    <col min="7463" max="7463" width="13.5703125" style="156" customWidth="1"/>
    <col min="7464" max="7680" width="11.42578125" style="156"/>
    <col min="7681" max="7681" width="21.85546875" style="156" customWidth="1"/>
    <col min="7682" max="7682" width="3.7109375" style="156" customWidth="1"/>
    <col min="7683" max="7683" width="45.5703125" style="156" customWidth="1"/>
    <col min="7684" max="7686" width="9.140625" style="156" customWidth="1"/>
    <col min="7687" max="7687" width="14.140625" style="156" customWidth="1"/>
    <col min="7688" max="7688" width="9.140625" style="156" customWidth="1"/>
    <col min="7689" max="7689" width="12.7109375" style="156" customWidth="1"/>
    <col min="7690" max="7690" width="17.42578125" style="156" customWidth="1"/>
    <col min="7691" max="7691" width="13.7109375" style="156" customWidth="1"/>
    <col min="7692" max="7692" width="11.7109375" style="156" customWidth="1"/>
    <col min="7693" max="7693" width="12.42578125" style="156" customWidth="1"/>
    <col min="7694" max="7694" width="13" style="156" customWidth="1"/>
    <col min="7695" max="7695" width="11.42578125" style="156"/>
    <col min="7696" max="7696" width="13.28515625" style="156" customWidth="1"/>
    <col min="7697" max="7697" width="13.85546875" style="156" customWidth="1"/>
    <col min="7698" max="7698" width="11.42578125" style="156"/>
    <col min="7699" max="7699" width="15.42578125" style="156" customWidth="1"/>
    <col min="7700" max="7701" width="13.5703125" style="156" customWidth="1"/>
    <col min="7702" max="7702" width="15.85546875" style="156" customWidth="1"/>
    <col min="7703" max="7703" width="21.7109375" style="156" customWidth="1"/>
    <col min="7704" max="7704" width="18.28515625" style="156" customWidth="1"/>
    <col min="7705" max="7705" width="19.7109375" style="156" customWidth="1"/>
    <col min="7706" max="7706" width="20.5703125" style="156" customWidth="1"/>
    <col min="7707" max="7707" width="14" style="156" customWidth="1"/>
    <col min="7708" max="7708" width="13.42578125" style="156" customWidth="1"/>
    <col min="7709" max="7709" width="13" style="156" customWidth="1"/>
    <col min="7710" max="7710" width="13.7109375" style="156" customWidth="1"/>
    <col min="7711" max="7711" width="12.140625" style="156" customWidth="1"/>
    <col min="7712" max="7712" width="13.140625" style="156" customWidth="1"/>
    <col min="7713" max="7713" width="13.7109375" style="156" customWidth="1"/>
    <col min="7714" max="7714" width="12.5703125" style="156" customWidth="1"/>
    <col min="7715" max="7715" width="20.85546875" style="156" customWidth="1"/>
    <col min="7716" max="7716" width="13.85546875" style="156" customWidth="1"/>
    <col min="7717" max="7718" width="11.42578125" style="156"/>
    <col min="7719" max="7719" width="13.5703125" style="156" customWidth="1"/>
    <col min="7720" max="7936" width="11.42578125" style="156"/>
    <col min="7937" max="7937" width="21.85546875" style="156" customWidth="1"/>
    <col min="7938" max="7938" width="3.7109375" style="156" customWidth="1"/>
    <col min="7939" max="7939" width="45.5703125" style="156" customWidth="1"/>
    <col min="7940" max="7942" width="9.140625" style="156" customWidth="1"/>
    <col min="7943" max="7943" width="14.140625" style="156" customWidth="1"/>
    <col min="7944" max="7944" width="9.140625" style="156" customWidth="1"/>
    <col min="7945" max="7945" width="12.7109375" style="156" customWidth="1"/>
    <col min="7946" max="7946" width="17.42578125" style="156" customWidth="1"/>
    <col min="7947" max="7947" width="13.7109375" style="156" customWidth="1"/>
    <col min="7948" max="7948" width="11.7109375" style="156" customWidth="1"/>
    <col min="7949" max="7949" width="12.42578125" style="156" customWidth="1"/>
    <col min="7950" max="7950" width="13" style="156" customWidth="1"/>
    <col min="7951" max="7951" width="11.42578125" style="156"/>
    <col min="7952" max="7952" width="13.28515625" style="156" customWidth="1"/>
    <col min="7953" max="7953" width="13.85546875" style="156" customWidth="1"/>
    <col min="7954" max="7954" width="11.42578125" style="156"/>
    <col min="7955" max="7955" width="15.42578125" style="156" customWidth="1"/>
    <col min="7956" max="7957" width="13.5703125" style="156" customWidth="1"/>
    <col min="7958" max="7958" width="15.85546875" style="156" customWidth="1"/>
    <col min="7959" max="7959" width="21.7109375" style="156" customWidth="1"/>
    <col min="7960" max="7960" width="18.28515625" style="156" customWidth="1"/>
    <col min="7961" max="7961" width="19.7109375" style="156" customWidth="1"/>
    <col min="7962" max="7962" width="20.5703125" style="156" customWidth="1"/>
    <col min="7963" max="7963" width="14" style="156" customWidth="1"/>
    <col min="7964" max="7964" width="13.42578125" style="156" customWidth="1"/>
    <col min="7965" max="7965" width="13" style="156" customWidth="1"/>
    <col min="7966" max="7966" width="13.7109375" style="156" customWidth="1"/>
    <col min="7967" max="7967" width="12.140625" style="156" customWidth="1"/>
    <col min="7968" max="7968" width="13.140625" style="156" customWidth="1"/>
    <col min="7969" max="7969" width="13.7109375" style="156" customWidth="1"/>
    <col min="7970" max="7970" width="12.5703125" style="156" customWidth="1"/>
    <col min="7971" max="7971" width="20.85546875" style="156" customWidth="1"/>
    <col min="7972" max="7972" width="13.85546875" style="156" customWidth="1"/>
    <col min="7973" max="7974" width="11.42578125" style="156"/>
    <col min="7975" max="7975" width="13.5703125" style="156" customWidth="1"/>
    <col min="7976" max="8192" width="9.140625" style="156"/>
    <col min="8193" max="8193" width="21.85546875" style="156" customWidth="1"/>
    <col min="8194" max="8194" width="3.7109375" style="156" customWidth="1"/>
    <col min="8195" max="8195" width="45.5703125" style="156" customWidth="1"/>
    <col min="8196" max="8198" width="9.140625" style="156" customWidth="1"/>
    <col min="8199" max="8199" width="14.140625" style="156" customWidth="1"/>
    <col min="8200" max="8200" width="9.140625" style="156" customWidth="1"/>
    <col min="8201" max="8201" width="12.7109375" style="156" customWidth="1"/>
    <col min="8202" max="8202" width="17.42578125" style="156" customWidth="1"/>
    <col min="8203" max="8203" width="13.7109375" style="156" customWidth="1"/>
    <col min="8204" max="8204" width="11.7109375" style="156" customWidth="1"/>
    <col min="8205" max="8205" width="12.42578125" style="156" customWidth="1"/>
    <col min="8206" max="8206" width="13" style="156" customWidth="1"/>
    <col min="8207" max="8207" width="11.42578125" style="156"/>
    <col min="8208" max="8208" width="13.28515625" style="156" customWidth="1"/>
    <col min="8209" max="8209" width="13.85546875" style="156" customWidth="1"/>
    <col min="8210" max="8210" width="11.42578125" style="156"/>
    <col min="8211" max="8211" width="15.42578125" style="156" customWidth="1"/>
    <col min="8212" max="8213" width="13.5703125" style="156" customWidth="1"/>
    <col min="8214" max="8214" width="15.85546875" style="156" customWidth="1"/>
    <col min="8215" max="8215" width="21.7109375" style="156" customWidth="1"/>
    <col min="8216" max="8216" width="18.28515625" style="156" customWidth="1"/>
    <col min="8217" max="8217" width="19.7109375" style="156" customWidth="1"/>
    <col min="8218" max="8218" width="20.5703125" style="156" customWidth="1"/>
    <col min="8219" max="8219" width="14" style="156" customWidth="1"/>
    <col min="8220" max="8220" width="13.42578125" style="156" customWidth="1"/>
    <col min="8221" max="8221" width="13" style="156" customWidth="1"/>
    <col min="8222" max="8222" width="13.7109375" style="156" customWidth="1"/>
    <col min="8223" max="8223" width="12.140625" style="156" customWidth="1"/>
    <col min="8224" max="8224" width="13.140625" style="156" customWidth="1"/>
    <col min="8225" max="8225" width="13.7109375" style="156" customWidth="1"/>
    <col min="8226" max="8226" width="12.5703125" style="156" customWidth="1"/>
    <col min="8227" max="8227" width="20.85546875" style="156" customWidth="1"/>
    <col min="8228" max="8228" width="13.85546875" style="156" customWidth="1"/>
    <col min="8229" max="8230" width="11.42578125" style="156"/>
    <col min="8231" max="8231" width="13.5703125" style="156" customWidth="1"/>
    <col min="8232" max="8448" width="11.42578125" style="156"/>
    <col min="8449" max="8449" width="21.85546875" style="156" customWidth="1"/>
    <col min="8450" max="8450" width="3.7109375" style="156" customWidth="1"/>
    <col min="8451" max="8451" width="45.5703125" style="156" customWidth="1"/>
    <col min="8452" max="8454" width="9.140625" style="156" customWidth="1"/>
    <col min="8455" max="8455" width="14.140625" style="156" customWidth="1"/>
    <col min="8456" max="8456" width="9.140625" style="156" customWidth="1"/>
    <col min="8457" max="8457" width="12.7109375" style="156" customWidth="1"/>
    <col min="8458" max="8458" width="17.42578125" style="156" customWidth="1"/>
    <col min="8459" max="8459" width="13.7109375" style="156" customWidth="1"/>
    <col min="8460" max="8460" width="11.7109375" style="156" customWidth="1"/>
    <col min="8461" max="8461" width="12.42578125" style="156" customWidth="1"/>
    <col min="8462" max="8462" width="13" style="156" customWidth="1"/>
    <col min="8463" max="8463" width="11.42578125" style="156"/>
    <col min="8464" max="8464" width="13.28515625" style="156" customWidth="1"/>
    <col min="8465" max="8465" width="13.85546875" style="156" customWidth="1"/>
    <col min="8466" max="8466" width="11.42578125" style="156"/>
    <col min="8467" max="8467" width="15.42578125" style="156" customWidth="1"/>
    <col min="8468" max="8469" width="13.5703125" style="156" customWidth="1"/>
    <col min="8470" max="8470" width="15.85546875" style="156" customWidth="1"/>
    <col min="8471" max="8471" width="21.7109375" style="156" customWidth="1"/>
    <col min="8472" max="8472" width="18.28515625" style="156" customWidth="1"/>
    <col min="8473" max="8473" width="19.7109375" style="156" customWidth="1"/>
    <col min="8474" max="8474" width="20.5703125" style="156" customWidth="1"/>
    <col min="8475" max="8475" width="14" style="156" customWidth="1"/>
    <col min="8476" max="8476" width="13.42578125" style="156" customWidth="1"/>
    <col min="8477" max="8477" width="13" style="156" customWidth="1"/>
    <col min="8478" max="8478" width="13.7109375" style="156" customWidth="1"/>
    <col min="8479" max="8479" width="12.140625" style="156" customWidth="1"/>
    <col min="8480" max="8480" width="13.140625" style="156" customWidth="1"/>
    <col min="8481" max="8481" width="13.7109375" style="156" customWidth="1"/>
    <col min="8482" max="8482" width="12.5703125" style="156" customWidth="1"/>
    <col min="8483" max="8483" width="20.85546875" style="156" customWidth="1"/>
    <col min="8484" max="8484" width="13.85546875" style="156" customWidth="1"/>
    <col min="8485" max="8486" width="11.42578125" style="156"/>
    <col min="8487" max="8487" width="13.5703125" style="156" customWidth="1"/>
    <col min="8488" max="8704" width="11.42578125" style="156"/>
    <col min="8705" max="8705" width="21.85546875" style="156" customWidth="1"/>
    <col min="8706" max="8706" width="3.7109375" style="156" customWidth="1"/>
    <col min="8707" max="8707" width="45.5703125" style="156" customWidth="1"/>
    <col min="8708" max="8710" width="9.140625" style="156" customWidth="1"/>
    <col min="8711" max="8711" width="14.140625" style="156" customWidth="1"/>
    <col min="8712" max="8712" width="9.140625" style="156" customWidth="1"/>
    <col min="8713" max="8713" width="12.7109375" style="156" customWidth="1"/>
    <col min="8714" max="8714" width="17.42578125" style="156" customWidth="1"/>
    <col min="8715" max="8715" width="13.7109375" style="156" customWidth="1"/>
    <col min="8716" max="8716" width="11.7109375" style="156" customWidth="1"/>
    <col min="8717" max="8717" width="12.42578125" style="156" customWidth="1"/>
    <col min="8718" max="8718" width="13" style="156" customWidth="1"/>
    <col min="8719" max="8719" width="11.42578125" style="156"/>
    <col min="8720" max="8720" width="13.28515625" style="156" customWidth="1"/>
    <col min="8721" max="8721" width="13.85546875" style="156" customWidth="1"/>
    <col min="8722" max="8722" width="11.42578125" style="156"/>
    <col min="8723" max="8723" width="15.42578125" style="156" customWidth="1"/>
    <col min="8724" max="8725" width="13.5703125" style="156" customWidth="1"/>
    <col min="8726" max="8726" width="15.85546875" style="156" customWidth="1"/>
    <col min="8727" max="8727" width="21.7109375" style="156" customWidth="1"/>
    <col min="8728" max="8728" width="18.28515625" style="156" customWidth="1"/>
    <col min="8729" max="8729" width="19.7109375" style="156" customWidth="1"/>
    <col min="8730" max="8730" width="20.5703125" style="156" customWidth="1"/>
    <col min="8731" max="8731" width="14" style="156" customWidth="1"/>
    <col min="8732" max="8732" width="13.42578125" style="156" customWidth="1"/>
    <col min="8733" max="8733" width="13" style="156" customWidth="1"/>
    <col min="8734" max="8734" width="13.7109375" style="156" customWidth="1"/>
    <col min="8735" max="8735" width="12.140625" style="156" customWidth="1"/>
    <col min="8736" max="8736" width="13.140625" style="156" customWidth="1"/>
    <col min="8737" max="8737" width="13.7109375" style="156" customWidth="1"/>
    <col min="8738" max="8738" width="12.5703125" style="156" customWidth="1"/>
    <col min="8739" max="8739" width="20.85546875" style="156" customWidth="1"/>
    <col min="8740" max="8740" width="13.85546875" style="156" customWidth="1"/>
    <col min="8741" max="8742" width="11.42578125" style="156"/>
    <col min="8743" max="8743" width="13.5703125" style="156" customWidth="1"/>
    <col min="8744" max="8960" width="11.42578125" style="156"/>
    <col min="8961" max="8961" width="21.85546875" style="156" customWidth="1"/>
    <col min="8962" max="8962" width="3.7109375" style="156" customWidth="1"/>
    <col min="8963" max="8963" width="45.5703125" style="156" customWidth="1"/>
    <col min="8964" max="8966" width="9.140625" style="156" customWidth="1"/>
    <col min="8967" max="8967" width="14.140625" style="156" customWidth="1"/>
    <col min="8968" max="8968" width="9.140625" style="156" customWidth="1"/>
    <col min="8969" max="8969" width="12.7109375" style="156" customWidth="1"/>
    <col min="8970" max="8970" width="17.42578125" style="156" customWidth="1"/>
    <col min="8971" max="8971" width="13.7109375" style="156" customWidth="1"/>
    <col min="8972" max="8972" width="11.7109375" style="156" customWidth="1"/>
    <col min="8973" max="8973" width="12.42578125" style="156" customWidth="1"/>
    <col min="8974" max="8974" width="13" style="156" customWidth="1"/>
    <col min="8975" max="8975" width="11.42578125" style="156"/>
    <col min="8976" max="8976" width="13.28515625" style="156" customWidth="1"/>
    <col min="8977" max="8977" width="13.85546875" style="156" customWidth="1"/>
    <col min="8978" max="8978" width="11.42578125" style="156"/>
    <col min="8979" max="8979" width="15.42578125" style="156" customWidth="1"/>
    <col min="8980" max="8981" width="13.5703125" style="156" customWidth="1"/>
    <col min="8982" max="8982" width="15.85546875" style="156" customWidth="1"/>
    <col min="8983" max="8983" width="21.7109375" style="156" customWidth="1"/>
    <col min="8984" max="8984" width="18.28515625" style="156" customWidth="1"/>
    <col min="8985" max="8985" width="19.7109375" style="156" customWidth="1"/>
    <col min="8986" max="8986" width="20.5703125" style="156" customWidth="1"/>
    <col min="8987" max="8987" width="14" style="156" customWidth="1"/>
    <col min="8988" max="8988" width="13.42578125" style="156" customWidth="1"/>
    <col min="8989" max="8989" width="13" style="156" customWidth="1"/>
    <col min="8990" max="8990" width="13.7109375" style="156" customWidth="1"/>
    <col min="8991" max="8991" width="12.140625" style="156" customWidth="1"/>
    <col min="8992" max="8992" width="13.140625" style="156" customWidth="1"/>
    <col min="8993" max="8993" width="13.7109375" style="156" customWidth="1"/>
    <col min="8994" max="8994" width="12.5703125" style="156" customWidth="1"/>
    <col min="8995" max="8995" width="20.85546875" style="156" customWidth="1"/>
    <col min="8996" max="8996" width="13.85546875" style="156" customWidth="1"/>
    <col min="8997" max="8998" width="11.42578125" style="156"/>
    <col min="8999" max="8999" width="13.5703125" style="156" customWidth="1"/>
    <col min="9000" max="9216" width="9.140625" style="156"/>
    <col min="9217" max="9217" width="21.85546875" style="156" customWidth="1"/>
    <col min="9218" max="9218" width="3.7109375" style="156" customWidth="1"/>
    <col min="9219" max="9219" width="45.5703125" style="156" customWidth="1"/>
    <col min="9220" max="9222" width="9.140625" style="156" customWidth="1"/>
    <col min="9223" max="9223" width="14.140625" style="156" customWidth="1"/>
    <col min="9224" max="9224" width="9.140625" style="156" customWidth="1"/>
    <col min="9225" max="9225" width="12.7109375" style="156" customWidth="1"/>
    <col min="9226" max="9226" width="17.42578125" style="156" customWidth="1"/>
    <col min="9227" max="9227" width="13.7109375" style="156" customWidth="1"/>
    <col min="9228" max="9228" width="11.7109375" style="156" customWidth="1"/>
    <col min="9229" max="9229" width="12.42578125" style="156" customWidth="1"/>
    <col min="9230" max="9230" width="13" style="156" customWidth="1"/>
    <col min="9231" max="9231" width="11.42578125" style="156"/>
    <col min="9232" max="9232" width="13.28515625" style="156" customWidth="1"/>
    <col min="9233" max="9233" width="13.85546875" style="156" customWidth="1"/>
    <col min="9234" max="9234" width="11.42578125" style="156"/>
    <col min="9235" max="9235" width="15.42578125" style="156" customWidth="1"/>
    <col min="9236" max="9237" width="13.5703125" style="156" customWidth="1"/>
    <col min="9238" max="9238" width="15.85546875" style="156" customWidth="1"/>
    <col min="9239" max="9239" width="21.7109375" style="156" customWidth="1"/>
    <col min="9240" max="9240" width="18.28515625" style="156" customWidth="1"/>
    <col min="9241" max="9241" width="19.7109375" style="156" customWidth="1"/>
    <col min="9242" max="9242" width="20.5703125" style="156" customWidth="1"/>
    <col min="9243" max="9243" width="14" style="156" customWidth="1"/>
    <col min="9244" max="9244" width="13.42578125" style="156" customWidth="1"/>
    <col min="9245" max="9245" width="13" style="156" customWidth="1"/>
    <col min="9246" max="9246" width="13.7109375" style="156" customWidth="1"/>
    <col min="9247" max="9247" width="12.140625" style="156" customWidth="1"/>
    <col min="9248" max="9248" width="13.140625" style="156" customWidth="1"/>
    <col min="9249" max="9249" width="13.7109375" style="156" customWidth="1"/>
    <col min="9250" max="9250" width="12.5703125" style="156" customWidth="1"/>
    <col min="9251" max="9251" width="20.85546875" style="156" customWidth="1"/>
    <col min="9252" max="9252" width="13.85546875" style="156" customWidth="1"/>
    <col min="9253" max="9254" width="11.42578125" style="156"/>
    <col min="9255" max="9255" width="13.5703125" style="156" customWidth="1"/>
    <col min="9256" max="9472" width="11.42578125" style="156"/>
    <col min="9473" max="9473" width="21.85546875" style="156" customWidth="1"/>
    <col min="9474" max="9474" width="3.7109375" style="156" customWidth="1"/>
    <col min="9475" max="9475" width="45.5703125" style="156" customWidth="1"/>
    <col min="9476" max="9478" width="9.140625" style="156" customWidth="1"/>
    <col min="9479" max="9479" width="14.140625" style="156" customWidth="1"/>
    <col min="9480" max="9480" width="9.140625" style="156" customWidth="1"/>
    <col min="9481" max="9481" width="12.7109375" style="156" customWidth="1"/>
    <col min="9482" max="9482" width="17.42578125" style="156" customWidth="1"/>
    <col min="9483" max="9483" width="13.7109375" style="156" customWidth="1"/>
    <col min="9484" max="9484" width="11.7109375" style="156" customWidth="1"/>
    <col min="9485" max="9485" width="12.42578125" style="156" customWidth="1"/>
    <col min="9486" max="9486" width="13" style="156" customWidth="1"/>
    <col min="9487" max="9487" width="11.42578125" style="156"/>
    <col min="9488" max="9488" width="13.28515625" style="156" customWidth="1"/>
    <col min="9489" max="9489" width="13.85546875" style="156" customWidth="1"/>
    <col min="9490" max="9490" width="11.42578125" style="156"/>
    <col min="9491" max="9491" width="15.42578125" style="156" customWidth="1"/>
    <col min="9492" max="9493" width="13.5703125" style="156" customWidth="1"/>
    <col min="9494" max="9494" width="15.85546875" style="156" customWidth="1"/>
    <col min="9495" max="9495" width="21.7109375" style="156" customWidth="1"/>
    <col min="9496" max="9496" width="18.28515625" style="156" customWidth="1"/>
    <col min="9497" max="9497" width="19.7109375" style="156" customWidth="1"/>
    <col min="9498" max="9498" width="20.5703125" style="156" customWidth="1"/>
    <col min="9499" max="9499" width="14" style="156" customWidth="1"/>
    <col min="9500" max="9500" width="13.42578125" style="156" customWidth="1"/>
    <col min="9501" max="9501" width="13" style="156" customWidth="1"/>
    <col min="9502" max="9502" width="13.7109375" style="156" customWidth="1"/>
    <col min="9503" max="9503" width="12.140625" style="156" customWidth="1"/>
    <col min="9504" max="9504" width="13.140625" style="156" customWidth="1"/>
    <col min="9505" max="9505" width="13.7109375" style="156" customWidth="1"/>
    <col min="9506" max="9506" width="12.5703125" style="156" customWidth="1"/>
    <col min="9507" max="9507" width="20.85546875" style="156" customWidth="1"/>
    <col min="9508" max="9508" width="13.85546875" style="156" customWidth="1"/>
    <col min="9509" max="9510" width="11.42578125" style="156"/>
    <col min="9511" max="9511" width="13.5703125" style="156" customWidth="1"/>
    <col min="9512" max="9728" width="11.42578125" style="156"/>
    <col min="9729" max="9729" width="21.85546875" style="156" customWidth="1"/>
    <col min="9730" max="9730" width="3.7109375" style="156" customWidth="1"/>
    <col min="9731" max="9731" width="45.5703125" style="156" customWidth="1"/>
    <col min="9732" max="9734" width="9.140625" style="156" customWidth="1"/>
    <col min="9735" max="9735" width="14.140625" style="156" customWidth="1"/>
    <col min="9736" max="9736" width="9.140625" style="156" customWidth="1"/>
    <col min="9737" max="9737" width="12.7109375" style="156" customWidth="1"/>
    <col min="9738" max="9738" width="17.42578125" style="156" customWidth="1"/>
    <col min="9739" max="9739" width="13.7109375" style="156" customWidth="1"/>
    <col min="9740" max="9740" width="11.7109375" style="156" customWidth="1"/>
    <col min="9741" max="9741" width="12.42578125" style="156" customWidth="1"/>
    <col min="9742" max="9742" width="13" style="156" customWidth="1"/>
    <col min="9743" max="9743" width="11.42578125" style="156"/>
    <col min="9744" max="9744" width="13.28515625" style="156" customWidth="1"/>
    <col min="9745" max="9745" width="13.85546875" style="156" customWidth="1"/>
    <col min="9746" max="9746" width="11.42578125" style="156"/>
    <col min="9747" max="9747" width="15.42578125" style="156" customWidth="1"/>
    <col min="9748" max="9749" width="13.5703125" style="156" customWidth="1"/>
    <col min="9750" max="9750" width="15.85546875" style="156" customWidth="1"/>
    <col min="9751" max="9751" width="21.7109375" style="156" customWidth="1"/>
    <col min="9752" max="9752" width="18.28515625" style="156" customWidth="1"/>
    <col min="9753" max="9753" width="19.7109375" style="156" customWidth="1"/>
    <col min="9754" max="9754" width="20.5703125" style="156" customWidth="1"/>
    <col min="9755" max="9755" width="14" style="156" customWidth="1"/>
    <col min="9756" max="9756" width="13.42578125" style="156" customWidth="1"/>
    <col min="9757" max="9757" width="13" style="156" customWidth="1"/>
    <col min="9758" max="9758" width="13.7109375" style="156" customWidth="1"/>
    <col min="9759" max="9759" width="12.140625" style="156" customWidth="1"/>
    <col min="9760" max="9760" width="13.140625" style="156" customWidth="1"/>
    <col min="9761" max="9761" width="13.7109375" style="156" customWidth="1"/>
    <col min="9762" max="9762" width="12.5703125" style="156" customWidth="1"/>
    <col min="9763" max="9763" width="20.85546875" style="156" customWidth="1"/>
    <col min="9764" max="9764" width="13.85546875" style="156" customWidth="1"/>
    <col min="9765" max="9766" width="11.42578125" style="156"/>
    <col min="9767" max="9767" width="13.5703125" style="156" customWidth="1"/>
    <col min="9768" max="9984" width="11.42578125" style="156"/>
    <col min="9985" max="9985" width="21.85546875" style="156" customWidth="1"/>
    <col min="9986" max="9986" width="3.7109375" style="156" customWidth="1"/>
    <col min="9987" max="9987" width="45.5703125" style="156" customWidth="1"/>
    <col min="9988" max="9990" width="9.140625" style="156" customWidth="1"/>
    <col min="9991" max="9991" width="14.140625" style="156" customWidth="1"/>
    <col min="9992" max="9992" width="9.140625" style="156" customWidth="1"/>
    <col min="9993" max="9993" width="12.7109375" style="156" customWidth="1"/>
    <col min="9994" max="9994" width="17.42578125" style="156" customWidth="1"/>
    <col min="9995" max="9995" width="13.7109375" style="156" customWidth="1"/>
    <col min="9996" max="9996" width="11.7109375" style="156" customWidth="1"/>
    <col min="9997" max="9997" width="12.42578125" style="156" customWidth="1"/>
    <col min="9998" max="9998" width="13" style="156" customWidth="1"/>
    <col min="9999" max="9999" width="11.42578125" style="156"/>
    <col min="10000" max="10000" width="13.28515625" style="156" customWidth="1"/>
    <col min="10001" max="10001" width="13.85546875" style="156" customWidth="1"/>
    <col min="10002" max="10002" width="11.42578125" style="156"/>
    <col min="10003" max="10003" width="15.42578125" style="156" customWidth="1"/>
    <col min="10004" max="10005" width="13.5703125" style="156" customWidth="1"/>
    <col min="10006" max="10006" width="15.85546875" style="156" customWidth="1"/>
    <col min="10007" max="10007" width="21.7109375" style="156" customWidth="1"/>
    <col min="10008" max="10008" width="18.28515625" style="156" customWidth="1"/>
    <col min="10009" max="10009" width="19.7109375" style="156" customWidth="1"/>
    <col min="10010" max="10010" width="20.5703125" style="156" customWidth="1"/>
    <col min="10011" max="10011" width="14" style="156" customWidth="1"/>
    <col min="10012" max="10012" width="13.42578125" style="156" customWidth="1"/>
    <col min="10013" max="10013" width="13" style="156" customWidth="1"/>
    <col min="10014" max="10014" width="13.7109375" style="156" customWidth="1"/>
    <col min="10015" max="10015" width="12.140625" style="156" customWidth="1"/>
    <col min="10016" max="10016" width="13.140625" style="156" customWidth="1"/>
    <col min="10017" max="10017" width="13.7109375" style="156" customWidth="1"/>
    <col min="10018" max="10018" width="12.5703125" style="156" customWidth="1"/>
    <col min="10019" max="10019" width="20.85546875" style="156" customWidth="1"/>
    <col min="10020" max="10020" width="13.85546875" style="156" customWidth="1"/>
    <col min="10021" max="10022" width="11.42578125" style="156"/>
    <col min="10023" max="10023" width="13.5703125" style="156" customWidth="1"/>
    <col min="10024" max="10240" width="9.140625" style="156"/>
    <col min="10241" max="10241" width="21.85546875" style="156" customWidth="1"/>
    <col min="10242" max="10242" width="3.7109375" style="156" customWidth="1"/>
    <col min="10243" max="10243" width="45.5703125" style="156" customWidth="1"/>
    <col min="10244" max="10246" width="9.140625" style="156" customWidth="1"/>
    <col min="10247" max="10247" width="14.140625" style="156" customWidth="1"/>
    <col min="10248" max="10248" width="9.140625" style="156" customWidth="1"/>
    <col min="10249" max="10249" width="12.7109375" style="156" customWidth="1"/>
    <col min="10250" max="10250" width="17.42578125" style="156" customWidth="1"/>
    <col min="10251" max="10251" width="13.7109375" style="156" customWidth="1"/>
    <col min="10252" max="10252" width="11.7109375" style="156" customWidth="1"/>
    <col min="10253" max="10253" width="12.42578125" style="156" customWidth="1"/>
    <col min="10254" max="10254" width="13" style="156" customWidth="1"/>
    <col min="10255" max="10255" width="11.42578125" style="156"/>
    <col min="10256" max="10256" width="13.28515625" style="156" customWidth="1"/>
    <col min="10257" max="10257" width="13.85546875" style="156" customWidth="1"/>
    <col min="10258" max="10258" width="11.42578125" style="156"/>
    <col min="10259" max="10259" width="15.42578125" style="156" customWidth="1"/>
    <col min="10260" max="10261" width="13.5703125" style="156" customWidth="1"/>
    <col min="10262" max="10262" width="15.85546875" style="156" customWidth="1"/>
    <col min="10263" max="10263" width="21.7109375" style="156" customWidth="1"/>
    <col min="10264" max="10264" width="18.28515625" style="156" customWidth="1"/>
    <col min="10265" max="10265" width="19.7109375" style="156" customWidth="1"/>
    <col min="10266" max="10266" width="20.5703125" style="156" customWidth="1"/>
    <col min="10267" max="10267" width="14" style="156" customWidth="1"/>
    <col min="10268" max="10268" width="13.42578125" style="156" customWidth="1"/>
    <col min="10269" max="10269" width="13" style="156" customWidth="1"/>
    <col min="10270" max="10270" width="13.7109375" style="156" customWidth="1"/>
    <col min="10271" max="10271" width="12.140625" style="156" customWidth="1"/>
    <col min="10272" max="10272" width="13.140625" style="156" customWidth="1"/>
    <col min="10273" max="10273" width="13.7109375" style="156" customWidth="1"/>
    <col min="10274" max="10274" width="12.5703125" style="156" customWidth="1"/>
    <col min="10275" max="10275" width="20.85546875" style="156" customWidth="1"/>
    <col min="10276" max="10276" width="13.85546875" style="156" customWidth="1"/>
    <col min="10277" max="10278" width="11.42578125" style="156"/>
    <col min="10279" max="10279" width="13.5703125" style="156" customWidth="1"/>
    <col min="10280" max="10496" width="11.42578125" style="156"/>
    <col min="10497" max="10497" width="21.85546875" style="156" customWidth="1"/>
    <col min="10498" max="10498" width="3.7109375" style="156" customWidth="1"/>
    <col min="10499" max="10499" width="45.5703125" style="156" customWidth="1"/>
    <col min="10500" max="10502" width="9.140625" style="156" customWidth="1"/>
    <col min="10503" max="10503" width="14.140625" style="156" customWidth="1"/>
    <col min="10504" max="10504" width="9.140625" style="156" customWidth="1"/>
    <col min="10505" max="10505" width="12.7109375" style="156" customWidth="1"/>
    <col min="10506" max="10506" width="17.42578125" style="156" customWidth="1"/>
    <col min="10507" max="10507" width="13.7109375" style="156" customWidth="1"/>
    <col min="10508" max="10508" width="11.7109375" style="156" customWidth="1"/>
    <col min="10509" max="10509" width="12.42578125" style="156" customWidth="1"/>
    <col min="10510" max="10510" width="13" style="156" customWidth="1"/>
    <col min="10511" max="10511" width="11.42578125" style="156"/>
    <col min="10512" max="10512" width="13.28515625" style="156" customWidth="1"/>
    <col min="10513" max="10513" width="13.85546875" style="156" customWidth="1"/>
    <col min="10514" max="10514" width="11.42578125" style="156"/>
    <col min="10515" max="10515" width="15.42578125" style="156" customWidth="1"/>
    <col min="10516" max="10517" width="13.5703125" style="156" customWidth="1"/>
    <col min="10518" max="10518" width="15.85546875" style="156" customWidth="1"/>
    <col min="10519" max="10519" width="21.7109375" style="156" customWidth="1"/>
    <col min="10520" max="10520" width="18.28515625" style="156" customWidth="1"/>
    <col min="10521" max="10521" width="19.7109375" style="156" customWidth="1"/>
    <col min="10522" max="10522" width="20.5703125" style="156" customWidth="1"/>
    <col min="10523" max="10523" width="14" style="156" customWidth="1"/>
    <col min="10524" max="10524" width="13.42578125" style="156" customWidth="1"/>
    <col min="10525" max="10525" width="13" style="156" customWidth="1"/>
    <col min="10526" max="10526" width="13.7109375" style="156" customWidth="1"/>
    <col min="10527" max="10527" width="12.140625" style="156" customWidth="1"/>
    <col min="10528" max="10528" width="13.140625" style="156" customWidth="1"/>
    <col min="10529" max="10529" width="13.7109375" style="156" customWidth="1"/>
    <col min="10530" max="10530" width="12.5703125" style="156" customWidth="1"/>
    <col min="10531" max="10531" width="20.85546875" style="156" customWidth="1"/>
    <col min="10532" max="10532" width="13.85546875" style="156" customWidth="1"/>
    <col min="10533" max="10534" width="11.42578125" style="156"/>
    <col min="10535" max="10535" width="13.5703125" style="156" customWidth="1"/>
    <col min="10536" max="10752" width="11.42578125" style="156"/>
    <col min="10753" max="10753" width="21.85546875" style="156" customWidth="1"/>
    <col min="10754" max="10754" width="3.7109375" style="156" customWidth="1"/>
    <col min="10755" max="10755" width="45.5703125" style="156" customWidth="1"/>
    <col min="10756" max="10758" width="9.140625" style="156" customWidth="1"/>
    <col min="10759" max="10759" width="14.140625" style="156" customWidth="1"/>
    <col min="10760" max="10760" width="9.140625" style="156" customWidth="1"/>
    <col min="10761" max="10761" width="12.7109375" style="156" customWidth="1"/>
    <col min="10762" max="10762" width="17.42578125" style="156" customWidth="1"/>
    <col min="10763" max="10763" width="13.7109375" style="156" customWidth="1"/>
    <col min="10764" max="10764" width="11.7109375" style="156" customWidth="1"/>
    <col min="10765" max="10765" width="12.42578125" style="156" customWidth="1"/>
    <col min="10766" max="10766" width="13" style="156" customWidth="1"/>
    <col min="10767" max="10767" width="11.42578125" style="156"/>
    <col min="10768" max="10768" width="13.28515625" style="156" customWidth="1"/>
    <col min="10769" max="10769" width="13.85546875" style="156" customWidth="1"/>
    <col min="10770" max="10770" width="11.42578125" style="156"/>
    <col min="10771" max="10771" width="15.42578125" style="156" customWidth="1"/>
    <col min="10772" max="10773" width="13.5703125" style="156" customWidth="1"/>
    <col min="10774" max="10774" width="15.85546875" style="156" customWidth="1"/>
    <col min="10775" max="10775" width="21.7109375" style="156" customWidth="1"/>
    <col min="10776" max="10776" width="18.28515625" style="156" customWidth="1"/>
    <col min="10777" max="10777" width="19.7109375" style="156" customWidth="1"/>
    <col min="10778" max="10778" width="20.5703125" style="156" customWidth="1"/>
    <col min="10779" max="10779" width="14" style="156" customWidth="1"/>
    <col min="10780" max="10780" width="13.42578125" style="156" customWidth="1"/>
    <col min="10781" max="10781" width="13" style="156" customWidth="1"/>
    <col min="10782" max="10782" width="13.7109375" style="156" customWidth="1"/>
    <col min="10783" max="10783" width="12.140625" style="156" customWidth="1"/>
    <col min="10784" max="10784" width="13.140625" style="156" customWidth="1"/>
    <col min="10785" max="10785" width="13.7109375" style="156" customWidth="1"/>
    <col min="10786" max="10786" width="12.5703125" style="156" customWidth="1"/>
    <col min="10787" max="10787" width="20.85546875" style="156" customWidth="1"/>
    <col min="10788" max="10788" width="13.85546875" style="156" customWidth="1"/>
    <col min="10789" max="10790" width="11.42578125" style="156"/>
    <col min="10791" max="10791" width="13.5703125" style="156" customWidth="1"/>
    <col min="10792" max="11008" width="11.42578125" style="156"/>
    <col min="11009" max="11009" width="21.85546875" style="156" customWidth="1"/>
    <col min="11010" max="11010" width="3.7109375" style="156" customWidth="1"/>
    <col min="11011" max="11011" width="45.5703125" style="156" customWidth="1"/>
    <col min="11012" max="11014" width="9.140625" style="156" customWidth="1"/>
    <col min="11015" max="11015" width="14.140625" style="156" customWidth="1"/>
    <col min="11016" max="11016" width="9.140625" style="156" customWidth="1"/>
    <col min="11017" max="11017" width="12.7109375" style="156" customWidth="1"/>
    <col min="11018" max="11018" width="17.42578125" style="156" customWidth="1"/>
    <col min="11019" max="11019" width="13.7109375" style="156" customWidth="1"/>
    <col min="11020" max="11020" width="11.7109375" style="156" customWidth="1"/>
    <col min="11021" max="11021" width="12.42578125" style="156" customWidth="1"/>
    <col min="11022" max="11022" width="13" style="156" customWidth="1"/>
    <col min="11023" max="11023" width="11.42578125" style="156"/>
    <col min="11024" max="11024" width="13.28515625" style="156" customWidth="1"/>
    <col min="11025" max="11025" width="13.85546875" style="156" customWidth="1"/>
    <col min="11026" max="11026" width="11.42578125" style="156"/>
    <col min="11027" max="11027" width="15.42578125" style="156" customWidth="1"/>
    <col min="11028" max="11029" width="13.5703125" style="156" customWidth="1"/>
    <col min="11030" max="11030" width="15.85546875" style="156" customWidth="1"/>
    <col min="11031" max="11031" width="21.7109375" style="156" customWidth="1"/>
    <col min="11032" max="11032" width="18.28515625" style="156" customWidth="1"/>
    <col min="11033" max="11033" width="19.7109375" style="156" customWidth="1"/>
    <col min="11034" max="11034" width="20.5703125" style="156" customWidth="1"/>
    <col min="11035" max="11035" width="14" style="156" customWidth="1"/>
    <col min="11036" max="11036" width="13.42578125" style="156" customWidth="1"/>
    <col min="11037" max="11037" width="13" style="156" customWidth="1"/>
    <col min="11038" max="11038" width="13.7109375" style="156" customWidth="1"/>
    <col min="11039" max="11039" width="12.140625" style="156" customWidth="1"/>
    <col min="11040" max="11040" width="13.140625" style="156" customWidth="1"/>
    <col min="11041" max="11041" width="13.7109375" style="156" customWidth="1"/>
    <col min="11042" max="11042" width="12.5703125" style="156" customWidth="1"/>
    <col min="11043" max="11043" width="20.85546875" style="156" customWidth="1"/>
    <col min="11044" max="11044" width="13.85546875" style="156" customWidth="1"/>
    <col min="11045" max="11046" width="11.42578125" style="156"/>
    <col min="11047" max="11047" width="13.5703125" style="156" customWidth="1"/>
    <col min="11048" max="11264" width="9.140625" style="156"/>
    <col min="11265" max="11265" width="21.85546875" style="156" customWidth="1"/>
    <col min="11266" max="11266" width="3.7109375" style="156" customWidth="1"/>
    <col min="11267" max="11267" width="45.5703125" style="156" customWidth="1"/>
    <col min="11268" max="11270" width="9.140625" style="156" customWidth="1"/>
    <col min="11271" max="11271" width="14.140625" style="156" customWidth="1"/>
    <col min="11272" max="11272" width="9.140625" style="156" customWidth="1"/>
    <col min="11273" max="11273" width="12.7109375" style="156" customWidth="1"/>
    <col min="11274" max="11274" width="17.42578125" style="156" customWidth="1"/>
    <col min="11275" max="11275" width="13.7109375" style="156" customWidth="1"/>
    <col min="11276" max="11276" width="11.7109375" style="156" customWidth="1"/>
    <col min="11277" max="11277" width="12.42578125" style="156" customWidth="1"/>
    <col min="11278" max="11278" width="13" style="156" customWidth="1"/>
    <col min="11279" max="11279" width="11.42578125" style="156"/>
    <col min="11280" max="11280" width="13.28515625" style="156" customWidth="1"/>
    <col min="11281" max="11281" width="13.85546875" style="156" customWidth="1"/>
    <col min="11282" max="11282" width="11.42578125" style="156"/>
    <col min="11283" max="11283" width="15.42578125" style="156" customWidth="1"/>
    <col min="11284" max="11285" width="13.5703125" style="156" customWidth="1"/>
    <col min="11286" max="11286" width="15.85546875" style="156" customWidth="1"/>
    <col min="11287" max="11287" width="21.7109375" style="156" customWidth="1"/>
    <col min="11288" max="11288" width="18.28515625" style="156" customWidth="1"/>
    <col min="11289" max="11289" width="19.7109375" style="156" customWidth="1"/>
    <col min="11290" max="11290" width="20.5703125" style="156" customWidth="1"/>
    <col min="11291" max="11291" width="14" style="156" customWidth="1"/>
    <col min="11292" max="11292" width="13.42578125" style="156" customWidth="1"/>
    <col min="11293" max="11293" width="13" style="156" customWidth="1"/>
    <col min="11294" max="11294" width="13.7109375" style="156" customWidth="1"/>
    <col min="11295" max="11295" width="12.140625" style="156" customWidth="1"/>
    <col min="11296" max="11296" width="13.140625" style="156" customWidth="1"/>
    <col min="11297" max="11297" width="13.7109375" style="156" customWidth="1"/>
    <col min="11298" max="11298" width="12.5703125" style="156" customWidth="1"/>
    <col min="11299" max="11299" width="20.85546875" style="156" customWidth="1"/>
    <col min="11300" max="11300" width="13.85546875" style="156" customWidth="1"/>
    <col min="11301" max="11302" width="11.42578125" style="156"/>
    <col min="11303" max="11303" width="13.5703125" style="156" customWidth="1"/>
    <col min="11304" max="11520" width="11.42578125" style="156"/>
    <col min="11521" max="11521" width="21.85546875" style="156" customWidth="1"/>
    <col min="11522" max="11522" width="3.7109375" style="156" customWidth="1"/>
    <col min="11523" max="11523" width="45.5703125" style="156" customWidth="1"/>
    <col min="11524" max="11526" width="9.140625" style="156" customWidth="1"/>
    <col min="11527" max="11527" width="14.140625" style="156" customWidth="1"/>
    <col min="11528" max="11528" width="9.140625" style="156" customWidth="1"/>
    <col min="11529" max="11529" width="12.7109375" style="156" customWidth="1"/>
    <col min="11530" max="11530" width="17.42578125" style="156" customWidth="1"/>
    <col min="11531" max="11531" width="13.7109375" style="156" customWidth="1"/>
    <col min="11532" max="11532" width="11.7109375" style="156" customWidth="1"/>
    <col min="11533" max="11533" width="12.42578125" style="156" customWidth="1"/>
    <col min="11534" max="11534" width="13" style="156" customWidth="1"/>
    <col min="11535" max="11535" width="11.42578125" style="156"/>
    <col min="11536" max="11536" width="13.28515625" style="156" customWidth="1"/>
    <col min="11537" max="11537" width="13.85546875" style="156" customWidth="1"/>
    <col min="11538" max="11538" width="11.42578125" style="156"/>
    <col min="11539" max="11539" width="15.42578125" style="156" customWidth="1"/>
    <col min="11540" max="11541" width="13.5703125" style="156" customWidth="1"/>
    <col min="11542" max="11542" width="15.85546875" style="156" customWidth="1"/>
    <col min="11543" max="11543" width="21.7109375" style="156" customWidth="1"/>
    <col min="11544" max="11544" width="18.28515625" style="156" customWidth="1"/>
    <col min="11545" max="11545" width="19.7109375" style="156" customWidth="1"/>
    <col min="11546" max="11546" width="20.5703125" style="156" customWidth="1"/>
    <col min="11547" max="11547" width="14" style="156" customWidth="1"/>
    <col min="11548" max="11548" width="13.42578125" style="156" customWidth="1"/>
    <col min="11549" max="11549" width="13" style="156" customWidth="1"/>
    <col min="11550" max="11550" width="13.7109375" style="156" customWidth="1"/>
    <col min="11551" max="11551" width="12.140625" style="156" customWidth="1"/>
    <col min="11552" max="11552" width="13.140625" style="156" customWidth="1"/>
    <col min="11553" max="11553" width="13.7109375" style="156" customWidth="1"/>
    <col min="11554" max="11554" width="12.5703125" style="156" customWidth="1"/>
    <col min="11555" max="11555" width="20.85546875" style="156" customWidth="1"/>
    <col min="11556" max="11556" width="13.85546875" style="156" customWidth="1"/>
    <col min="11557" max="11558" width="11.42578125" style="156"/>
    <col min="11559" max="11559" width="13.5703125" style="156" customWidth="1"/>
    <col min="11560" max="11776" width="11.42578125" style="156"/>
    <col min="11777" max="11777" width="21.85546875" style="156" customWidth="1"/>
    <col min="11778" max="11778" width="3.7109375" style="156" customWidth="1"/>
    <col min="11779" max="11779" width="45.5703125" style="156" customWidth="1"/>
    <col min="11780" max="11782" width="9.140625" style="156" customWidth="1"/>
    <col min="11783" max="11783" width="14.140625" style="156" customWidth="1"/>
    <col min="11784" max="11784" width="9.140625" style="156" customWidth="1"/>
    <col min="11785" max="11785" width="12.7109375" style="156" customWidth="1"/>
    <col min="11786" max="11786" width="17.42578125" style="156" customWidth="1"/>
    <col min="11787" max="11787" width="13.7109375" style="156" customWidth="1"/>
    <col min="11788" max="11788" width="11.7109375" style="156" customWidth="1"/>
    <col min="11789" max="11789" width="12.42578125" style="156" customWidth="1"/>
    <col min="11790" max="11790" width="13" style="156" customWidth="1"/>
    <col min="11791" max="11791" width="11.42578125" style="156"/>
    <col min="11792" max="11792" width="13.28515625" style="156" customWidth="1"/>
    <col min="11793" max="11793" width="13.85546875" style="156" customWidth="1"/>
    <col min="11794" max="11794" width="11.42578125" style="156"/>
    <col min="11795" max="11795" width="15.42578125" style="156" customWidth="1"/>
    <col min="11796" max="11797" width="13.5703125" style="156" customWidth="1"/>
    <col min="11798" max="11798" width="15.85546875" style="156" customWidth="1"/>
    <col min="11799" max="11799" width="21.7109375" style="156" customWidth="1"/>
    <col min="11800" max="11800" width="18.28515625" style="156" customWidth="1"/>
    <col min="11801" max="11801" width="19.7109375" style="156" customWidth="1"/>
    <col min="11802" max="11802" width="20.5703125" style="156" customWidth="1"/>
    <col min="11803" max="11803" width="14" style="156" customWidth="1"/>
    <col min="11804" max="11804" width="13.42578125" style="156" customWidth="1"/>
    <col min="11805" max="11805" width="13" style="156" customWidth="1"/>
    <col min="11806" max="11806" width="13.7109375" style="156" customWidth="1"/>
    <col min="11807" max="11807" width="12.140625" style="156" customWidth="1"/>
    <col min="11808" max="11808" width="13.140625" style="156" customWidth="1"/>
    <col min="11809" max="11809" width="13.7109375" style="156" customWidth="1"/>
    <col min="11810" max="11810" width="12.5703125" style="156" customWidth="1"/>
    <col min="11811" max="11811" width="20.85546875" style="156" customWidth="1"/>
    <col min="11812" max="11812" width="13.85546875" style="156" customWidth="1"/>
    <col min="11813" max="11814" width="11.42578125" style="156"/>
    <col min="11815" max="11815" width="13.5703125" style="156" customWidth="1"/>
    <col min="11816" max="12032" width="11.42578125" style="156"/>
    <col min="12033" max="12033" width="21.85546875" style="156" customWidth="1"/>
    <col min="12034" max="12034" width="3.7109375" style="156" customWidth="1"/>
    <col min="12035" max="12035" width="45.5703125" style="156" customWidth="1"/>
    <col min="12036" max="12038" width="9.140625" style="156" customWidth="1"/>
    <col min="12039" max="12039" width="14.140625" style="156" customWidth="1"/>
    <col min="12040" max="12040" width="9.140625" style="156" customWidth="1"/>
    <col min="12041" max="12041" width="12.7109375" style="156" customWidth="1"/>
    <col min="12042" max="12042" width="17.42578125" style="156" customWidth="1"/>
    <col min="12043" max="12043" width="13.7109375" style="156" customWidth="1"/>
    <col min="12044" max="12044" width="11.7109375" style="156" customWidth="1"/>
    <col min="12045" max="12045" width="12.42578125" style="156" customWidth="1"/>
    <col min="12046" max="12046" width="13" style="156" customWidth="1"/>
    <col min="12047" max="12047" width="11.42578125" style="156"/>
    <col min="12048" max="12048" width="13.28515625" style="156" customWidth="1"/>
    <col min="12049" max="12049" width="13.85546875" style="156" customWidth="1"/>
    <col min="12050" max="12050" width="11.42578125" style="156"/>
    <col min="12051" max="12051" width="15.42578125" style="156" customWidth="1"/>
    <col min="12052" max="12053" width="13.5703125" style="156" customWidth="1"/>
    <col min="12054" max="12054" width="15.85546875" style="156" customWidth="1"/>
    <col min="12055" max="12055" width="21.7109375" style="156" customWidth="1"/>
    <col min="12056" max="12056" width="18.28515625" style="156" customWidth="1"/>
    <col min="12057" max="12057" width="19.7109375" style="156" customWidth="1"/>
    <col min="12058" max="12058" width="20.5703125" style="156" customWidth="1"/>
    <col min="12059" max="12059" width="14" style="156" customWidth="1"/>
    <col min="12060" max="12060" width="13.42578125" style="156" customWidth="1"/>
    <col min="12061" max="12061" width="13" style="156" customWidth="1"/>
    <col min="12062" max="12062" width="13.7109375" style="156" customWidth="1"/>
    <col min="12063" max="12063" width="12.140625" style="156" customWidth="1"/>
    <col min="12064" max="12064" width="13.140625" style="156" customWidth="1"/>
    <col min="12065" max="12065" width="13.7109375" style="156" customWidth="1"/>
    <col min="12066" max="12066" width="12.5703125" style="156" customWidth="1"/>
    <col min="12067" max="12067" width="20.85546875" style="156" customWidth="1"/>
    <col min="12068" max="12068" width="13.85546875" style="156" customWidth="1"/>
    <col min="12069" max="12070" width="11.42578125" style="156"/>
    <col min="12071" max="12071" width="13.5703125" style="156" customWidth="1"/>
    <col min="12072" max="12288" width="9.140625" style="156"/>
    <col min="12289" max="12289" width="21.85546875" style="156" customWidth="1"/>
    <col min="12290" max="12290" width="3.7109375" style="156" customWidth="1"/>
    <col min="12291" max="12291" width="45.5703125" style="156" customWidth="1"/>
    <col min="12292" max="12294" width="9.140625" style="156" customWidth="1"/>
    <col min="12295" max="12295" width="14.140625" style="156" customWidth="1"/>
    <col min="12296" max="12296" width="9.140625" style="156" customWidth="1"/>
    <col min="12297" max="12297" width="12.7109375" style="156" customWidth="1"/>
    <col min="12298" max="12298" width="17.42578125" style="156" customWidth="1"/>
    <col min="12299" max="12299" width="13.7109375" style="156" customWidth="1"/>
    <col min="12300" max="12300" width="11.7109375" style="156" customWidth="1"/>
    <col min="12301" max="12301" width="12.42578125" style="156" customWidth="1"/>
    <col min="12302" max="12302" width="13" style="156" customWidth="1"/>
    <col min="12303" max="12303" width="11.42578125" style="156"/>
    <col min="12304" max="12304" width="13.28515625" style="156" customWidth="1"/>
    <col min="12305" max="12305" width="13.85546875" style="156" customWidth="1"/>
    <col min="12306" max="12306" width="11.42578125" style="156"/>
    <col min="12307" max="12307" width="15.42578125" style="156" customWidth="1"/>
    <col min="12308" max="12309" width="13.5703125" style="156" customWidth="1"/>
    <col min="12310" max="12310" width="15.85546875" style="156" customWidth="1"/>
    <col min="12311" max="12311" width="21.7109375" style="156" customWidth="1"/>
    <col min="12312" max="12312" width="18.28515625" style="156" customWidth="1"/>
    <col min="12313" max="12313" width="19.7109375" style="156" customWidth="1"/>
    <col min="12314" max="12314" width="20.5703125" style="156" customWidth="1"/>
    <col min="12315" max="12315" width="14" style="156" customWidth="1"/>
    <col min="12316" max="12316" width="13.42578125" style="156" customWidth="1"/>
    <col min="12317" max="12317" width="13" style="156" customWidth="1"/>
    <col min="12318" max="12318" width="13.7109375" style="156" customWidth="1"/>
    <col min="12319" max="12319" width="12.140625" style="156" customWidth="1"/>
    <col min="12320" max="12320" width="13.140625" style="156" customWidth="1"/>
    <col min="12321" max="12321" width="13.7109375" style="156" customWidth="1"/>
    <col min="12322" max="12322" width="12.5703125" style="156" customWidth="1"/>
    <col min="12323" max="12323" width="20.85546875" style="156" customWidth="1"/>
    <col min="12324" max="12324" width="13.85546875" style="156" customWidth="1"/>
    <col min="12325" max="12326" width="11.42578125" style="156"/>
    <col min="12327" max="12327" width="13.5703125" style="156" customWidth="1"/>
    <col min="12328" max="12544" width="11.42578125" style="156"/>
    <col min="12545" max="12545" width="21.85546875" style="156" customWidth="1"/>
    <col min="12546" max="12546" width="3.7109375" style="156" customWidth="1"/>
    <col min="12547" max="12547" width="45.5703125" style="156" customWidth="1"/>
    <col min="12548" max="12550" width="9.140625" style="156" customWidth="1"/>
    <col min="12551" max="12551" width="14.140625" style="156" customWidth="1"/>
    <col min="12552" max="12552" width="9.140625" style="156" customWidth="1"/>
    <col min="12553" max="12553" width="12.7109375" style="156" customWidth="1"/>
    <col min="12554" max="12554" width="17.42578125" style="156" customWidth="1"/>
    <col min="12555" max="12555" width="13.7109375" style="156" customWidth="1"/>
    <col min="12556" max="12556" width="11.7109375" style="156" customWidth="1"/>
    <col min="12557" max="12557" width="12.42578125" style="156" customWidth="1"/>
    <col min="12558" max="12558" width="13" style="156" customWidth="1"/>
    <col min="12559" max="12559" width="11.42578125" style="156"/>
    <col min="12560" max="12560" width="13.28515625" style="156" customWidth="1"/>
    <col min="12561" max="12561" width="13.85546875" style="156" customWidth="1"/>
    <col min="12562" max="12562" width="11.42578125" style="156"/>
    <col min="12563" max="12563" width="15.42578125" style="156" customWidth="1"/>
    <col min="12564" max="12565" width="13.5703125" style="156" customWidth="1"/>
    <col min="12566" max="12566" width="15.85546875" style="156" customWidth="1"/>
    <col min="12567" max="12567" width="21.7109375" style="156" customWidth="1"/>
    <col min="12568" max="12568" width="18.28515625" style="156" customWidth="1"/>
    <col min="12569" max="12569" width="19.7109375" style="156" customWidth="1"/>
    <col min="12570" max="12570" width="20.5703125" style="156" customWidth="1"/>
    <col min="12571" max="12571" width="14" style="156" customWidth="1"/>
    <col min="12572" max="12572" width="13.42578125" style="156" customWidth="1"/>
    <col min="12573" max="12573" width="13" style="156" customWidth="1"/>
    <col min="12574" max="12574" width="13.7109375" style="156" customWidth="1"/>
    <col min="12575" max="12575" width="12.140625" style="156" customWidth="1"/>
    <col min="12576" max="12576" width="13.140625" style="156" customWidth="1"/>
    <col min="12577" max="12577" width="13.7109375" style="156" customWidth="1"/>
    <col min="12578" max="12578" width="12.5703125" style="156" customWidth="1"/>
    <col min="12579" max="12579" width="20.85546875" style="156" customWidth="1"/>
    <col min="12580" max="12580" width="13.85546875" style="156" customWidth="1"/>
    <col min="12581" max="12582" width="11.42578125" style="156"/>
    <col min="12583" max="12583" width="13.5703125" style="156" customWidth="1"/>
    <col min="12584" max="12800" width="11.42578125" style="156"/>
    <col min="12801" max="12801" width="21.85546875" style="156" customWidth="1"/>
    <col min="12802" max="12802" width="3.7109375" style="156" customWidth="1"/>
    <col min="12803" max="12803" width="45.5703125" style="156" customWidth="1"/>
    <col min="12804" max="12806" width="9.140625" style="156" customWidth="1"/>
    <col min="12807" max="12807" width="14.140625" style="156" customWidth="1"/>
    <col min="12808" max="12808" width="9.140625" style="156" customWidth="1"/>
    <col min="12809" max="12809" width="12.7109375" style="156" customWidth="1"/>
    <col min="12810" max="12810" width="17.42578125" style="156" customWidth="1"/>
    <col min="12811" max="12811" width="13.7109375" style="156" customWidth="1"/>
    <col min="12812" max="12812" width="11.7109375" style="156" customWidth="1"/>
    <col min="12813" max="12813" width="12.42578125" style="156" customWidth="1"/>
    <col min="12814" max="12814" width="13" style="156" customWidth="1"/>
    <col min="12815" max="12815" width="11.42578125" style="156"/>
    <col min="12816" max="12816" width="13.28515625" style="156" customWidth="1"/>
    <col min="12817" max="12817" width="13.85546875" style="156" customWidth="1"/>
    <col min="12818" max="12818" width="11.42578125" style="156"/>
    <col min="12819" max="12819" width="15.42578125" style="156" customWidth="1"/>
    <col min="12820" max="12821" width="13.5703125" style="156" customWidth="1"/>
    <col min="12822" max="12822" width="15.85546875" style="156" customWidth="1"/>
    <col min="12823" max="12823" width="21.7109375" style="156" customWidth="1"/>
    <col min="12824" max="12824" width="18.28515625" style="156" customWidth="1"/>
    <col min="12825" max="12825" width="19.7109375" style="156" customWidth="1"/>
    <col min="12826" max="12826" width="20.5703125" style="156" customWidth="1"/>
    <col min="12827" max="12827" width="14" style="156" customWidth="1"/>
    <col min="12828" max="12828" width="13.42578125" style="156" customWidth="1"/>
    <col min="12829" max="12829" width="13" style="156" customWidth="1"/>
    <col min="12830" max="12830" width="13.7109375" style="156" customWidth="1"/>
    <col min="12831" max="12831" width="12.140625" style="156" customWidth="1"/>
    <col min="12832" max="12832" width="13.140625" style="156" customWidth="1"/>
    <col min="12833" max="12833" width="13.7109375" style="156" customWidth="1"/>
    <col min="12834" max="12834" width="12.5703125" style="156" customWidth="1"/>
    <col min="12835" max="12835" width="20.85546875" style="156" customWidth="1"/>
    <col min="12836" max="12836" width="13.85546875" style="156" customWidth="1"/>
    <col min="12837" max="12838" width="11.42578125" style="156"/>
    <col min="12839" max="12839" width="13.5703125" style="156" customWidth="1"/>
    <col min="12840" max="13056" width="11.42578125" style="156"/>
    <col min="13057" max="13057" width="21.85546875" style="156" customWidth="1"/>
    <col min="13058" max="13058" width="3.7109375" style="156" customWidth="1"/>
    <col min="13059" max="13059" width="45.5703125" style="156" customWidth="1"/>
    <col min="13060" max="13062" width="9.140625" style="156" customWidth="1"/>
    <col min="13063" max="13063" width="14.140625" style="156" customWidth="1"/>
    <col min="13064" max="13064" width="9.140625" style="156" customWidth="1"/>
    <col min="13065" max="13065" width="12.7109375" style="156" customWidth="1"/>
    <col min="13066" max="13066" width="17.42578125" style="156" customWidth="1"/>
    <col min="13067" max="13067" width="13.7109375" style="156" customWidth="1"/>
    <col min="13068" max="13068" width="11.7109375" style="156" customWidth="1"/>
    <col min="13069" max="13069" width="12.42578125" style="156" customWidth="1"/>
    <col min="13070" max="13070" width="13" style="156" customWidth="1"/>
    <col min="13071" max="13071" width="11.42578125" style="156"/>
    <col min="13072" max="13072" width="13.28515625" style="156" customWidth="1"/>
    <col min="13073" max="13073" width="13.85546875" style="156" customWidth="1"/>
    <col min="13074" max="13074" width="11.42578125" style="156"/>
    <col min="13075" max="13075" width="15.42578125" style="156" customWidth="1"/>
    <col min="13076" max="13077" width="13.5703125" style="156" customWidth="1"/>
    <col min="13078" max="13078" width="15.85546875" style="156" customWidth="1"/>
    <col min="13079" max="13079" width="21.7109375" style="156" customWidth="1"/>
    <col min="13080" max="13080" width="18.28515625" style="156" customWidth="1"/>
    <col min="13081" max="13081" width="19.7109375" style="156" customWidth="1"/>
    <col min="13082" max="13082" width="20.5703125" style="156" customWidth="1"/>
    <col min="13083" max="13083" width="14" style="156" customWidth="1"/>
    <col min="13084" max="13084" width="13.42578125" style="156" customWidth="1"/>
    <col min="13085" max="13085" width="13" style="156" customWidth="1"/>
    <col min="13086" max="13086" width="13.7109375" style="156" customWidth="1"/>
    <col min="13087" max="13087" width="12.140625" style="156" customWidth="1"/>
    <col min="13088" max="13088" width="13.140625" style="156" customWidth="1"/>
    <col min="13089" max="13089" width="13.7109375" style="156" customWidth="1"/>
    <col min="13090" max="13090" width="12.5703125" style="156" customWidth="1"/>
    <col min="13091" max="13091" width="20.85546875" style="156" customWidth="1"/>
    <col min="13092" max="13092" width="13.85546875" style="156" customWidth="1"/>
    <col min="13093" max="13094" width="11.42578125" style="156"/>
    <col min="13095" max="13095" width="13.5703125" style="156" customWidth="1"/>
    <col min="13096" max="13312" width="9.140625" style="156"/>
    <col min="13313" max="13313" width="21.85546875" style="156" customWidth="1"/>
    <col min="13314" max="13314" width="3.7109375" style="156" customWidth="1"/>
    <col min="13315" max="13315" width="45.5703125" style="156" customWidth="1"/>
    <col min="13316" max="13318" width="9.140625" style="156" customWidth="1"/>
    <col min="13319" max="13319" width="14.140625" style="156" customWidth="1"/>
    <col min="13320" max="13320" width="9.140625" style="156" customWidth="1"/>
    <col min="13321" max="13321" width="12.7109375" style="156" customWidth="1"/>
    <col min="13322" max="13322" width="17.42578125" style="156" customWidth="1"/>
    <col min="13323" max="13323" width="13.7109375" style="156" customWidth="1"/>
    <col min="13324" max="13324" width="11.7109375" style="156" customWidth="1"/>
    <col min="13325" max="13325" width="12.42578125" style="156" customWidth="1"/>
    <col min="13326" max="13326" width="13" style="156" customWidth="1"/>
    <col min="13327" max="13327" width="11.42578125" style="156"/>
    <col min="13328" max="13328" width="13.28515625" style="156" customWidth="1"/>
    <col min="13329" max="13329" width="13.85546875" style="156" customWidth="1"/>
    <col min="13330" max="13330" width="11.42578125" style="156"/>
    <col min="13331" max="13331" width="15.42578125" style="156" customWidth="1"/>
    <col min="13332" max="13333" width="13.5703125" style="156" customWidth="1"/>
    <col min="13334" max="13334" width="15.85546875" style="156" customWidth="1"/>
    <col min="13335" max="13335" width="21.7109375" style="156" customWidth="1"/>
    <col min="13336" max="13336" width="18.28515625" style="156" customWidth="1"/>
    <col min="13337" max="13337" width="19.7109375" style="156" customWidth="1"/>
    <col min="13338" max="13338" width="20.5703125" style="156" customWidth="1"/>
    <col min="13339" max="13339" width="14" style="156" customWidth="1"/>
    <col min="13340" max="13340" width="13.42578125" style="156" customWidth="1"/>
    <col min="13341" max="13341" width="13" style="156" customWidth="1"/>
    <col min="13342" max="13342" width="13.7109375" style="156" customWidth="1"/>
    <col min="13343" max="13343" width="12.140625" style="156" customWidth="1"/>
    <col min="13344" max="13344" width="13.140625" style="156" customWidth="1"/>
    <col min="13345" max="13345" width="13.7109375" style="156" customWidth="1"/>
    <col min="13346" max="13346" width="12.5703125" style="156" customWidth="1"/>
    <col min="13347" max="13347" width="20.85546875" style="156" customWidth="1"/>
    <col min="13348" max="13348" width="13.85546875" style="156" customWidth="1"/>
    <col min="13349" max="13350" width="11.42578125" style="156"/>
    <col min="13351" max="13351" width="13.5703125" style="156" customWidth="1"/>
    <col min="13352" max="13568" width="11.42578125" style="156"/>
    <col min="13569" max="13569" width="21.85546875" style="156" customWidth="1"/>
    <col min="13570" max="13570" width="3.7109375" style="156" customWidth="1"/>
    <col min="13571" max="13571" width="45.5703125" style="156" customWidth="1"/>
    <col min="13572" max="13574" width="9.140625" style="156" customWidth="1"/>
    <col min="13575" max="13575" width="14.140625" style="156" customWidth="1"/>
    <col min="13576" max="13576" width="9.140625" style="156" customWidth="1"/>
    <col min="13577" max="13577" width="12.7109375" style="156" customWidth="1"/>
    <col min="13578" max="13578" width="17.42578125" style="156" customWidth="1"/>
    <col min="13579" max="13579" width="13.7109375" style="156" customWidth="1"/>
    <col min="13580" max="13580" width="11.7109375" style="156" customWidth="1"/>
    <col min="13581" max="13581" width="12.42578125" style="156" customWidth="1"/>
    <col min="13582" max="13582" width="13" style="156" customWidth="1"/>
    <col min="13583" max="13583" width="11.42578125" style="156"/>
    <col min="13584" max="13584" width="13.28515625" style="156" customWidth="1"/>
    <col min="13585" max="13585" width="13.85546875" style="156" customWidth="1"/>
    <col min="13586" max="13586" width="11.42578125" style="156"/>
    <col min="13587" max="13587" width="15.42578125" style="156" customWidth="1"/>
    <col min="13588" max="13589" width="13.5703125" style="156" customWidth="1"/>
    <col min="13590" max="13590" width="15.85546875" style="156" customWidth="1"/>
    <col min="13591" max="13591" width="21.7109375" style="156" customWidth="1"/>
    <col min="13592" max="13592" width="18.28515625" style="156" customWidth="1"/>
    <col min="13593" max="13593" width="19.7109375" style="156" customWidth="1"/>
    <col min="13594" max="13594" width="20.5703125" style="156" customWidth="1"/>
    <col min="13595" max="13595" width="14" style="156" customWidth="1"/>
    <col min="13596" max="13596" width="13.42578125" style="156" customWidth="1"/>
    <col min="13597" max="13597" width="13" style="156" customWidth="1"/>
    <col min="13598" max="13598" width="13.7109375" style="156" customWidth="1"/>
    <col min="13599" max="13599" width="12.140625" style="156" customWidth="1"/>
    <col min="13600" max="13600" width="13.140625" style="156" customWidth="1"/>
    <col min="13601" max="13601" width="13.7109375" style="156" customWidth="1"/>
    <col min="13602" max="13602" width="12.5703125" style="156" customWidth="1"/>
    <col min="13603" max="13603" width="20.85546875" style="156" customWidth="1"/>
    <col min="13604" max="13604" width="13.85546875" style="156" customWidth="1"/>
    <col min="13605" max="13606" width="11.42578125" style="156"/>
    <col min="13607" max="13607" width="13.5703125" style="156" customWidth="1"/>
    <col min="13608" max="13824" width="11.42578125" style="156"/>
    <col min="13825" max="13825" width="21.85546875" style="156" customWidth="1"/>
    <col min="13826" max="13826" width="3.7109375" style="156" customWidth="1"/>
    <col min="13827" max="13827" width="45.5703125" style="156" customWidth="1"/>
    <col min="13828" max="13830" width="9.140625" style="156" customWidth="1"/>
    <col min="13831" max="13831" width="14.140625" style="156" customWidth="1"/>
    <col min="13832" max="13832" width="9.140625" style="156" customWidth="1"/>
    <col min="13833" max="13833" width="12.7109375" style="156" customWidth="1"/>
    <col min="13834" max="13834" width="17.42578125" style="156" customWidth="1"/>
    <col min="13835" max="13835" width="13.7109375" style="156" customWidth="1"/>
    <col min="13836" max="13836" width="11.7109375" style="156" customWidth="1"/>
    <col min="13837" max="13837" width="12.42578125" style="156" customWidth="1"/>
    <col min="13838" max="13838" width="13" style="156" customWidth="1"/>
    <col min="13839" max="13839" width="11.42578125" style="156"/>
    <col min="13840" max="13840" width="13.28515625" style="156" customWidth="1"/>
    <col min="13841" max="13841" width="13.85546875" style="156" customWidth="1"/>
    <col min="13842" max="13842" width="11.42578125" style="156"/>
    <col min="13843" max="13843" width="15.42578125" style="156" customWidth="1"/>
    <col min="13844" max="13845" width="13.5703125" style="156" customWidth="1"/>
    <col min="13846" max="13846" width="15.85546875" style="156" customWidth="1"/>
    <col min="13847" max="13847" width="21.7109375" style="156" customWidth="1"/>
    <col min="13848" max="13848" width="18.28515625" style="156" customWidth="1"/>
    <col min="13849" max="13849" width="19.7109375" style="156" customWidth="1"/>
    <col min="13850" max="13850" width="20.5703125" style="156" customWidth="1"/>
    <col min="13851" max="13851" width="14" style="156" customWidth="1"/>
    <col min="13852" max="13852" width="13.42578125" style="156" customWidth="1"/>
    <col min="13853" max="13853" width="13" style="156" customWidth="1"/>
    <col min="13854" max="13854" width="13.7109375" style="156" customWidth="1"/>
    <col min="13855" max="13855" width="12.140625" style="156" customWidth="1"/>
    <col min="13856" max="13856" width="13.140625" style="156" customWidth="1"/>
    <col min="13857" max="13857" width="13.7109375" style="156" customWidth="1"/>
    <col min="13858" max="13858" width="12.5703125" style="156" customWidth="1"/>
    <col min="13859" max="13859" width="20.85546875" style="156" customWidth="1"/>
    <col min="13860" max="13860" width="13.85546875" style="156" customWidth="1"/>
    <col min="13861" max="13862" width="11.42578125" style="156"/>
    <col min="13863" max="13863" width="13.5703125" style="156" customWidth="1"/>
    <col min="13864" max="14080" width="11.42578125" style="156"/>
    <col min="14081" max="14081" width="21.85546875" style="156" customWidth="1"/>
    <col min="14082" max="14082" width="3.7109375" style="156" customWidth="1"/>
    <col min="14083" max="14083" width="45.5703125" style="156" customWidth="1"/>
    <col min="14084" max="14086" width="9.140625" style="156" customWidth="1"/>
    <col min="14087" max="14087" width="14.140625" style="156" customWidth="1"/>
    <col min="14088" max="14088" width="9.140625" style="156" customWidth="1"/>
    <col min="14089" max="14089" width="12.7109375" style="156" customWidth="1"/>
    <col min="14090" max="14090" width="17.42578125" style="156" customWidth="1"/>
    <col min="14091" max="14091" width="13.7109375" style="156" customWidth="1"/>
    <col min="14092" max="14092" width="11.7109375" style="156" customWidth="1"/>
    <col min="14093" max="14093" width="12.42578125" style="156" customWidth="1"/>
    <col min="14094" max="14094" width="13" style="156" customWidth="1"/>
    <col min="14095" max="14095" width="11.42578125" style="156"/>
    <col min="14096" max="14096" width="13.28515625" style="156" customWidth="1"/>
    <col min="14097" max="14097" width="13.85546875" style="156" customWidth="1"/>
    <col min="14098" max="14098" width="11.42578125" style="156"/>
    <col min="14099" max="14099" width="15.42578125" style="156" customWidth="1"/>
    <col min="14100" max="14101" width="13.5703125" style="156" customWidth="1"/>
    <col min="14102" max="14102" width="15.85546875" style="156" customWidth="1"/>
    <col min="14103" max="14103" width="21.7109375" style="156" customWidth="1"/>
    <col min="14104" max="14104" width="18.28515625" style="156" customWidth="1"/>
    <col min="14105" max="14105" width="19.7109375" style="156" customWidth="1"/>
    <col min="14106" max="14106" width="20.5703125" style="156" customWidth="1"/>
    <col min="14107" max="14107" width="14" style="156" customWidth="1"/>
    <col min="14108" max="14108" width="13.42578125" style="156" customWidth="1"/>
    <col min="14109" max="14109" width="13" style="156" customWidth="1"/>
    <col min="14110" max="14110" width="13.7109375" style="156" customWidth="1"/>
    <col min="14111" max="14111" width="12.140625" style="156" customWidth="1"/>
    <col min="14112" max="14112" width="13.140625" style="156" customWidth="1"/>
    <col min="14113" max="14113" width="13.7109375" style="156" customWidth="1"/>
    <col min="14114" max="14114" width="12.5703125" style="156" customWidth="1"/>
    <col min="14115" max="14115" width="20.85546875" style="156" customWidth="1"/>
    <col min="14116" max="14116" width="13.85546875" style="156" customWidth="1"/>
    <col min="14117" max="14118" width="11.42578125" style="156"/>
    <col min="14119" max="14119" width="13.5703125" style="156" customWidth="1"/>
    <col min="14120" max="14336" width="9.140625" style="156"/>
    <col min="14337" max="14337" width="21.85546875" style="156" customWidth="1"/>
    <col min="14338" max="14338" width="3.7109375" style="156" customWidth="1"/>
    <col min="14339" max="14339" width="45.5703125" style="156" customWidth="1"/>
    <col min="14340" max="14342" width="9.140625" style="156" customWidth="1"/>
    <col min="14343" max="14343" width="14.140625" style="156" customWidth="1"/>
    <col min="14344" max="14344" width="9.140625" style="156" customWidth="1"/>
    <col min="14345" max="14345" width="12.7109375" style="156" customWidth="1"/>
    <col min="14346" max="14346" width="17.42578125" style="156" customWidth="1"/>
    <col min="14347" max="14347" width="13.7109375" style="156" customWidth="1"/>
    <col min="14348" max="14348" width="11.7109375" style="156" customWidth="1"/>
    <col min="14349" max="14349" width="12.42578125" style="156" customWidth="1"/>
    <col min="14350" max="14350" width="13" style="156" customWidth="1"/>
    <col min="14351" max="14351" width="11.42578125" style="156"/>
    <col min="14352" max="14352" width="13.28515625" style="156" customWidth="1"/>
    <col min="14353" max="14353" width="13.85546875" style="156" customWidth="1"/>
    <col min="14354" max="14354" width="11.42578125" style="156"/>
    <col min="14355" max="14355" width="15.42578125" style="156" customWidth="1"/>
    <col min="14356" max="14357" width="13.5703125" style="156" customWidth="1"/>
    <col min="14358" max="14358" width="15.85546875" style="156" customWidth="1"/>
    <col min="14359" max="14359" width="21.7109375" style="156" customWidth="1"/>
    <col min="14360" max="14360" width="18.28515625" style="156" customWidth="1"/>
    <col min="14361" max="14361" width="19.7109375" style="156" customWidth="1"/>
    <col min="14362" max="14362" width="20.5703125" style="156" customWidth="1"/>
    <col min="14363" max="14363" width="14" style="156" customWidth="1"/>
    <col min="14364" max="14364" width="13.42578125" style="156" customWidth="1"/>
    <col min="14365" max="14365" width="13" style="156" customWidth="1"/>
    <col min="14366" max="14366" width="13.7109375" style="156" customWidth="1"/>
    <col min="14367" max="14367" width="12.140625" style="156" customWidth="1"/>
    <col min="14368" max="14368" width="13.140625" style="156" customWidth="1"/>
    <col min="14369" max="14369" width="13.7109375" style="156" customWidth="1"/>
    <col min="14370" max="14370" width="12.5703125" style="156" customWidth="1"/>
    <col min="14371" max="14371" width="20.85546875" style="156" customWidth="1"/>
    <col min="14372" max="14372" width="13.85546875" style="156" customWidth="1"/>
    <col min="14373" max="14374" width="11.42578125" style="156"/>
    <col min="14375" max="14375" width="13.5703125" style="156" customWidth="1"/>
    <col min="14376" max="14592" width="11.42578125" style="156"/>
    <col min="14593" max="14593" width="21.85546875" style="156" customWidth="1"/>
    <col min="14594" max="14594" width="3.7109375" style="156" customWidth="1"/>
    <col min="14595" max="14595" width="45.5703125" style="156" customWidth="1"/>
    <col min="14596" max="14598" width="9.140625" style="156" customWidth="1"/>
    <col min="14599" max="14599" width="14.140625" style="156" customWidth="1"/>
    <col min="14600" max="14600" width="9.140625" style="156" customWidth="1"/>
    <col min="14601" max="14601" width="12.7109375" style="156" customWidth="1"/>
    <col min="14602" max="14602" width="17.42578125" style="156" customWidth="1"/>
    <col min="14603" max="14603" width="13.7109375" style="156" customWidth="1"/>
    <col min="14604" max="14604" width="11.7109375" style="156" customWidth="1"/>
    <col min="14605" max="14605" width="12.42578125" style="156" customWidth="1"/>
    <col min="14606" max="14606" width="13" style="156" customWidth="1"/>
    <col min="14607" max="14607" width="11.42578125" style="156"/>
    <col min="14608" max="14608" width="13.28515625" style="156" customWidth="1"/>
    <col min="14609" max="14609" width="13.85546875" style="156" customWidth="1"/>
    <col min="14610" max="14610" width="11.42578125" style="156"/>
    <col min="14611" max="14611" width="15.42578125" style="156" customWidth="1"/>
    <col min="14612" max="14613" width="13.5703125" style="156" customWidth="1"/>
    <col min="14614" max="14614" width="15.85546875" style="156" customWidth="1"/>
    <col min="14615" max="14615" width="21.7109375" style="156" customWidth="1"/>
    <col min="14616" max="14616" width="18.28515625" style="156" customWidth="1"/>
    <col min="14617" max="14617" width="19.7109375" style="156" customWidth="1"/>
    <col min="14618" max="14618" width="20.5703125" style="156" customWidth="1"/>
    <col min="14619" max="14619" width="14" style="156" customWidth="1"/>
    <col min="14620" max="14620" width="13.42578125" style="156" customWidth="1"/>
    <col min="14621" max="14621" width="13" style="156" customWidth="1"/>
    <col min="14622" max="14622" width="13.7109375" style="156" customWidth="1"/>
    <col min="14623" max="14623" width="12.140625" style="156" customWidth="1"/>
    <col min="14624" max="14624" width="13.140625" style="156" customWidth="1"/>
    <col min="14625" max="14625" width="13.7109375" style="156" customWidth="1"/>
    <col min="14626" max="14626" width="12.5703125" style="156" customWidth="1"/>
    <col min="14627" max="14627" width="20.85546875" style="156" customWidth="1"/>
    <col min="14628" max="14628" width="13.85546875" style="156" customWidth="1"/>
    <col min="14629" max="14630" width="11.42578125" style="156"/>
    <col min="14631" max="14631" width="13.5703125" style="156" customWidth="1"/>
    <col min="14632" max="14848" width="11.42578125" style="156"/>
    <col min="14849" max="14849" width="21.85546875" style="156" customWidth="1"/>
    <col min="14850" max="14850" width="3.7109375" style="156" customWidth="1"/>
    <col min="14851" max="14851" width="45.5703125" style="156" customWidth="1"/>
    <col min="14852" max="14854" width="9.140625" style="156" customWidth="1"/>
    <col min="14855" max="14855" width="14.140625" style="156" customWidth="1"/>
    <col min="14856" max="14856" width="9.140625" style="156" customWidth="1"/>
    <col min="14857" max="14857" width="12.7109375" style="156" customWidth="1"/>
    <col min="14858" max="14858" width="17.42578125" style="156" customWidth="1"/>
    <col min="14859" max="14859" width="13.7109375" style="156" customWidth="1"/>
    <col min="14860" max="14860" width="11.7109375" style="156" customWidth="1"/>
    <col min="14861" max="14861" width="12.42578125" style="156" customWidth="1"/>
    <col min="14862" max="14862" width="13" style="156" customWidth="1"/>
    <col min="14863" max="14863" width="11.42578125" style="156"/>
    <col min="14864" max="14864" width="13.28515625" style="156" customWidth="1"/>
    <col min="14865" max="14865" width="13.85546875" style="156" customWidth="1"/>
    <col min="14866" max="14866" width="11.42578125" style="156"/>
    <col min="14867" max="14867" width="15.42578125" style="156" customWidth="1"/>
    <col min="14868" max="14869" width="13.5703125" style="156" customWidth="1"/>
    <col min="14870" max="14870" width="15.85546875" style="156" customWidth="1"/>
    <col min="14871" max="14871" width="21.7109375" style="156" customWidth="1"/>
    <col min="14872" max="14872" width="18.28515625" style="156" customWidth="1"/>
    <col min="14873" max="14873" width="19.7109375" style="156" customWidth="1"/>
    <col min="14874" max="14874" width="20.5703125" style="156" customWidth="1"/>
    <col min="14875" max="14875" width="14" style="156" customWidth="1"/>
    <col min="14876" max="14876" width="13.42578125" style="156" customWidth="1"/>
    <col min="14877" max="14877" width="13" style="156" customWidth="1"/>
    <col min="14878" max="14878" width="13.7109375" style="156" customWidth="1"/>
    <col min="14879" max="14879" width="12.140625" style="156" customWidth="1"/>
    <col min="14880" max="14880" width="13.140625" style="156" customWidth="1"/>
    <col min="14881" max="14881" width="13.7109375" style="156" customWidth="1"/>
    <col min="14882" max="14882" width="12.5703125" style="156" customWidth="1"/>
    <col min="14883" max="14883" width="20.85546875" style="156" customWidth="1"/>
    <col min="14884" max="14884" width="13.85546875" style="156" customWidth="1"/>
    <col min="14885" max="14886" width="11.42578125" style="156"/>
    <col min="14887" max="14887" width="13.5703125" style="156" customWidth="1"/>
    <col min="14888" max="15104" width="11.42578125" style="156"/>
    <col min="15105" max="15105" width="21.85546875" style="156" customWidth="1"/>
    <col min="15106" max="15106" width="3.7109375" style="156" customWidth="1"/>
    <col min="15107" max="15107" width="45.5703125" style="156" customWidth="1"/>
    <col min="15108" max="15110" width="9.140625" style="156" customWidth="1"/>
    <col min="15111" max="15111" width="14.140625" style="156" customWidth="1"/>
    <col min="15112" max="15112" width="9.140625" style="156" customWidth="1"/>
    <col min="15113" max="15113" width="12.7109375" style="156" customWidth="1"/>
    <col min="15114" max="15114" width="17.42578125" style="156" customWidth="1"/>
    <col min="15115" max="15115" width="13.7109375" style="156" customWidth="1"/>
    <col min="15116" max="15116" width="11.7109375" style="156" customWidth="1"/>
    <col min="15117" max="15117" width="12.42578125" style="156" customWidth="1"/>
    <col min="15118" max="15118" width="13" style="156" customWidth="1"/>
    <col min="15119" max="15119" width="11.42578125" style="156"/>
    <col min="15120" max="15120" width="13.28515625" style="156" customWidth="1"/>
    <col min="15121" max="15121" width="13.85546875" style="156" customWidth="1"/>
    <col min="15122" max="15122" width="11.42578125" style="156"/>
    <col min="15123" max="15123" width="15.42578125" style="156" customWidth="1"/>
    <col min="15124" max="15125" width="13.5703125" style="156" customWidth="1"/>
    <col min="15126" max="15126" width="15.85546875" style="156" customWidth="1"/>
    <col min="15127" max="15127" width="21.7109375" style="156" customWidth="1"/>
    <col min="15128" max="15128" width="18.28515625" style="156" customWidth="1"/>
    <col min="15129" max="15129" width="19.7109375" style="156" customWidth="1"/>
    <col min="15130" max="15130" width="20.5703125" style="156" customWidth="1"/>
    <col min="15131" max="15131" width="14" style="156" customWidth="1"/>
    <col min="15132" max="15132" width="13.42578125" style="156" customWidth="1"/>
    <col min="15133" max="15133" width="13" style="156" customWidth="1"/>
    <col min="15134" max="15134" width="13.7109375" style="156" customWidth="1"/>
    <col min="15135" max="15135" width="12.140625" style="156" customWidth="1"/>
    <col min="15136" max="15136" width="13.140625" style="156" customWidth="1"/>
    <col min="15137" max="15137" width="13.7109375" style="156" customWidth="1"/>
    <col min="15138" max="15138" width="12.5703125" style="156" customWidth="1"/>
    <col min="15139" max="15139" width="20.85546875" style="156" customWidth="1"/>
    <col min="15140" max="15140" width="13.85546875" style="156" customWidth="1"/>
    <col min="15141" max="15142" width="11.42578125" style="156"/>
    <col min="15143" max="15143" width="13.5703125" style="156" customWidth="1"/>
    <col min="15144" max="15360" width="9.140625" style="156"/>
    <col min="15361" max="15361" width="21.85546875" style="156" customWidth="1"/>
    <col min="15362" max="15362" width="3.7109375" style="156" customWidth="1"/>
    <col min="15363" max="15363" width="45.5703125" style="156" customWidth="1"/>
    <col min="15364" max="15366" width="9.140625" style="156" customWidth="1"/>
    <col min="15367" max="15367" width="14.140625" style="156" customWidth="1"/>
    <col min="15368" max="15368" width="9.140625" style="156" customWidth="1"/>
    <col min="15369" max="15369" width="12.7109375" style="156" customWidth="1"/>
    <col min="15370" max="15370" width="17.42578125" style="156" customWidth="1"/>
    <col min="15371" max="15371" width="13.7109375" style="156" customWidth="1"/>
    <col min="15372" max="15372" width="11.7109375" style="156" customWidth="1"/>
    <col min="15373" max="15373" width="12.42578125" style="156" customWidth="1"/>
    <col min="15374" max="15374" width="13" style="156" customWidth="1"/>
    <col min="15375" max="15375" width="11.42578125" style="156"/>
    <col min="15376" max="15376" width="13.28515625" style="156" customWidth="1"/>
    <col min="15377" max="15377" width="13.85546875" style="156" customWidth="1"/>
    <col min="15378" max="15378" width="11.42578125" style="156"/>
    <col min="15379" max="15379" width="15.42578125" style="156" customWidth="1"/>
    <col min="15380" max="15381" width="13.5703125" style="156" customWidth="1"/>
    <col min="15382" max="15382" width="15.85546875" style="156" customWidth="1"/>
    <col min="15383" max="15383" width="21.7109375" style="156" customWidth="1"/>
    <col min="15384" max="15384" width="18.28515625" style="156" customWidth="1"/>
    <col min="15385" max="15385" width="19.7109375" style="156" customWidth="1"/>
    <col min="15386" max="15386" width="20.5703125" style="156" customWidth="1"/>
    <col min="15387" max="15387" width="14" style="156" customWidth="1"/>
    <col min="15388" max="15388" width="13.42578125" style="156" customWidth="1"/>
    <col min="15389" max="15389" width="13" style="156" customWidth="1"/>
    <col min="15390" max="15390" width="13.7109375" style="156" customWidth="1"/>
    <col min="15391" max="15391" width="12.140625" style="156" customWidth="1"/>
    <col min="15392" max="15392" width="13.140625" style="156" customWidth="1"/>
    <col min="15393" max="15393" width="13.7109375" style="156" customWidth="1"/>
    <col min="15394" max="15394" width="12.5703125" style="156" customWidth="1"/>
    <col min="15395" max="15395" width="20.85546875" style="156" customWidth="1"/>
    <col min="15396" max="15396" width="13.85546875" style="156" customWidth="1"/>
    <col min="15397" max="15398" width="11.42578125" style="156"/>
    <col min="15399" max="15399" width="13.5703125" style="156" customWidth="1"/>
    <col min="15400" max="15616" width="11.42578125" style="156"/>
    <col min="15617" max="15617" width="21.85546875" style="156" customWidth="1"/>
    <col min="15618" max="15618" width="3.7109375" style="156" customWidth="1"/>
    <col min="15619" max="15619" width="45.5703125" style="156" customWidth="1"/>
    <col min="15620" max="15622" width="9.140625" style="156" customWidth="1"/>
    <col min="15623" max="15623" width="14.140625" style="156" customWidth="1"/>
    <col min="15624" max="15624" width="9.140625" style="156" customWidth="1"/>
    <col min="15625" max="15625" width="12.7109375" style="156" customWidth="1"/>
    <col min="15626" max="15626" width="17.42578125" style="156" customWidth="1"/>
    <col min="15627" max="15627" width="13.7109375" style="156" customWidth="1"/>
    <col min="15628" max="15628" width="11.7109375" style="156" customWidth="1"/>
    <col min="15629" max="15629" width="12.42578125" style="156" customWidth="1"/>
    <col min="15630" max="15630" width="13" style="156" customWidth="1"/>
    <col min="15631" max="15631" width="11.42578125" style="156"/>
    <col min="15632" max="15632" width="13.28515625" style="156" customWidth="1"/>
    <col min="15633" max="15633" width="13.85546875" style="156" customWidth="1"/>
    <col min="15634" max="15634" width="11.42578125" style="156"/>
    <col min="15635" max="15635" width="15.42578125" style="156" customWidth="1"/>
    <col min="15636" max="15637" width="13.5703125" style="156" customWidth="1"/>
    <col min="15638" max="15638" width="15.85546875" style="156" customWidth="1"/>
    <col min="15639" max="15639" width="21.7109375" style="156" customWidth="1"/>
    <col min="15640" max="15640" width="18.28515625" style="156" customWidth="1"/>
    <col min="15641" max="15641" width="19.7109375" style="156" customWidth="1"/>
    <col min="15642" max="15642" width="20.5703125" style="156" customWidth="1"/>
    <col min="15643" max="15643" width="14" style="156" customWidth="1"/>
    <col min="15644" max="15644" width="13.42578125" style="156" customWidth="1"/>
    <col min="15645" max="15645" width="13" style="156" customWidth="1"/>
    <col min="15646" max="15646" width="13.7109375" style="156" customWidth="1"/>
    <col min="15647" max="15647" width="12.140625" style="156" customWidth="1"/>
    <col min="15648" max="15648" width="13.140625" style="156" customWidth="1"/>
    <col min="15649" max="15649" width="13.7109375" style="156" customWidth="1"/>
    <col min="15650" max="15650" width="12.5703125" style="156" customWidth="1"/>
    <col min="15651" max="15651" width="20.85546875" style="156" customWidth="1"/>
    <col min="15652" max="15652" width="13.85546875" style="156" customWidth="1"/>
    <col min="15653" max="15654" width="11.42578125" style="156"/>
    <col min="15655" max="15655" width="13.5703125" style="156" customWidth="1"/>
    <col min="15656" max="15872" width="11.42578125" style="156"/>
    <col min="15873" max="15873" width="21.85546875" style="156" customWidth="1"/>
    <col min="15874" max="15874" width="3.7109375" style="156" customWidth="1"/>
    <col min="15875" max="15875" width="45.5703125" style="156" customWidth="1"/>
    <col min="15876" max="15878" width="9.140625" style="156" customWidth="1"/>
    <col min="15879" max="15879" width="14.140625" style="156" customWidth="1"/>
    <col min="15880" max="15880" width="9.140625" style="156" customWidth="1"/>
    <col min="15881" max="15881" width="12.7109375" style="156" customWidth="1"/>
    <col min="15882" max="15882" width="17.42578125" style="156" customWidth="1"/>
    <col min="15883" max="15883" width="13.7109375" style="156" customWidth="1"/>
    <col min="15884" max="15884" width="11.7109375" style="156" customWidth="1"/>
    <col min="15885" max="15885" width="12.42578125" style="156" customWidth="1"/>
    <col min="15886" max="15886" width="13" style="156" customWidth="1"/>
    <col min="15887" max="15887" width="11.42578125" style="156"/>
    <col min="15888" max="15888" width="13.28515625" style="156" customWidth="1"/>
    <col min="15889" max="15889" width="13.85546875" style="156" customWidth="1"/>
    <col min="15890" max="15890" width="11.42578125" style="156"/>
    <col min="15891" max="15891" width="15.42578125" style="156" customWidth="1"/>
    <col min="15892" max="15893" width="13.5703125" style="156" customWidth="1"/>
    <col min="15894" max="15894" width="15.85546875" style="156" customWidth="1"/>
    <col min="15895" max="15895" width="21.7109375" style="156" customWidth="1"/>
    <col min="15896" max="15896" width="18.28515625" style="156" customWidth="1"/>
    <col min="15897" max="15897" width="19.7109375" style="156" customWidth="1"/>
    <col min="15898" max="15898" width="20.5703125" style="156" customWidth="1"/>
    <col min="15899" max="15899" width="14" style="156" customWidth="1"/>
    <col min="15900" max="15900" width="13.42578125" style="156" customWidth="1"/>
    <col min="15901" max="15901" width="13" style="156" customWidth="1"/>
    <col min="15902" max="15902" width="13.7109375" style="156" customWidth="1"/>
    <col min="15903" max="15903" width="12.140625" style="156" customWidth="1"/>
    <col min="15904" max="15904" width="13.140625" style="156" customWidth="1"/>
    <col min="15905" max="15905" width="13.7109375" style="156" customWidth="1"/>
    <col min="15906" max="15906" width="12.5703125" style="156" customWidth="1"/>
    <col min="15907" max="15907" width="20.85546875" style="156" customWidth="1"/>
    <col min="15908" max="15908" width="13.85546875" style="156" customWidth="1"/>
    <col min="15909" max="15910" width="11.42578125" style="156"/>
    <col min="15911" max="15911" width="13.5703125" style="156" customWidth="1"/>
    <col min="15912" max="16128" width="11.42578125" style="156"/>
    <col min="16129" max="16129" width="21.85546875" style="156" customWidth="1"/>
    <col min="16130" max="16130" width="3.7109375" style="156" customWidth="1"/>
    <col min="16131" max="16131" width="45.5703125" style="156" customWidth="1"/>
    <col min="16132" max="16134" width="9.140625" style="156" customWidth="1"/>
    <col min="16135" max="16135" width="14.140625" style="156" customWidth="1"/>
    <col min="16136" max="16136" width="9.140625" style="156" customWidth="1"/>
    <col min="16137" max="16137" width="12.7109375" style="156" customWidth="1"/>
    <col min="16138" max="16138" width="17.42578125" style="156" customWidth="1"/>
    <col min="16139" max="16139" width="13.7109375" style="156" customWidth="1"/>
    <col min="16140" max="16140" width="11.7109375" style="156" customWidth="1"/>
    <col min="16141" max="16141" width="12.42578125" style="156" customWidth="1"/>
    <col min="16142" max="16142" width="13" style="156" customWidth="1"/>
    <col min="16143" max="16143" width="11.42578125" style="156"/>
    <col min="16144" max="16144" width="13.28515625" style="156" customWidth="1"/>
    <col min="16145" max="16145" width="13.85546875" style="156" customWidth="1"/>
    <col min="16146" max="16146" width="11.42578125" style="156"/>
    <col min="16147" max="16147" width="15.42578125" style="156" customWidth="1"/>
    <col min="16148" max="16149" width="13.5703125" style="156" customWidth="1"/>
    <col min="16150" max="16150" width="15.85546875" style="156" customWidth="1"/>
    <col min="16151" max="16151" width="21.7109375" style="156" customWidth="1"/>
    <col min="16152" max="16152" width="18.28515625" style="156" customWidth="1"/>
    <col min="16153" max="16153" width="19.7109375" style="156" customWidth="1"/>
    <col min="16154" max="16154" width="20.5703125" style="156" customWidth="1"/>
    <col min="16155" max="16155" width="14" style="156" customWidth="1"/>
    <col min="16156" max="16156" width="13.42578125" style="156" customWidth="1"/>
    <col min="16157" max="16157" width="13" style="156" customWidth="1"/>
    <col min="16158" max="16158" width="13.7109375" style="156" customWidth="1"/>
    <col min="16159" max="16159" width="12.140625" style="156" customWidth="1"/>
    <col min="16160" max="16160" width="13.140625" style="156" customWidth="1"/>
    <col min="16161" max="16161" width="13.7109375" style="156" customWidth="1"/>
    <col min="16162" max="16162" width="12.5703125" style="156" customWidth="1"/>
    <col min="16163" max="16163" width="20.85546875" style="156" customWidth="1"/>
    <col min="16164" max="16164" width="13.85546875" style="156" customWidth="1"/>
    <col min="16165" max="16166" width="11.42578125" style="156"/>
    <col min="16167" max="16167" width="13.5703125" style="156" customWidth="1"/>
    <col min="16168" max="16384" width="9.140625" style="156"/>
  </cols>
  <sheetData>
    <row r="1" spans="1:41" s="49" customFormat="1" ht="52.5" customHeight="1">
      <c r="B1" s="977" t="s">
        <v>57</v>
      </c>
      <c r="C1" s="957" t="s">
        <v>58</v>
      </c>
      <c r="D1" s="958" t="s">
        <v>59</v>
      </c>
      <c r="E1" s="942" t="s">
        <v>60</v>
      </c>
      <c r="F1" s="949"/>
      <c r="G1" s="950"/>
      <c r="H1" s="415"/>
      <c r="I1" s="595"/>
      <c r="J1" s="959" t="s">
        <v>61</v>
      </c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399" t="s">
        <v>62</v>
      </c>
      <c r="V1" s="942" t="s">
        <v>63</v>
      </c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4"/>
      <c r="AH1" s="966" t="s">
        <v>64</v>
      </c>
      <c r="AI1" s="966" t="s">
        <v>65</v>
      </c>
      <c r="AJ1" s="968"/>
      <c r="AK1" s="48"/>
      <c r="AL1" s="48"/>
      <c r="AM1" s="48"/>
      <c r="AN1" s="48"/>
      <c r="AO1" s="48"/>
    </row>
    <row r="2" spans="1:41" s="55" customFormat="1" ht="15" customHeight="1">
      <c r="B2" s="978"/>
      <c r="C2" s="946"/>
      <c r="D2" s="946"/>
      <c r="E2" s="954" t="s">
        <v>66</v>
      </c>
      <c r="F2" s="954" t="s">
        <v>67</v>
      </c>
      <c r="G2" s="971" t="s">
        <v>68</v>
      </c>
      <c r="H2" s="972"/>
      <c r="I2" s="972" t="s">
        <v>69</v>
      </c>
      <c r="J2" s="945" t="s">
        <v>70</v>
      </c>
      <c r="K2" s="972" t="s">
        <v>219</v>
      </c>
      <c r="L2" s="945" t="s">
        <v>71</v>
      </c>
      <c r="M2" s="945" t="s">
        <v>72</v>
      </c>
      <c r="N2" s="945" t="s">
        <v>73</v>
      </c>
      <c r="O2" s="945" t="s">
        <v>74</v>
      </c>
      <c r="P2" s="945" t="s">
        <v>75</v>
      </c>
      <c r="Q2" s="960" t="s">
        <v>76</v>
      </c>
      <c r="R2" s="960" t="s">
        <v>77</v>
      </c>
      <c r="S2" s="960" t="s">
        <v>78</v>
      </c>
      <c r="T2" s="960" t="s">
        <v>79</v>
      </c>
      <c r="U2" s="50"/>
      <c r="V2" s="948" t="s">
        <v>80</v>
      </c>
      <c r="W2" s="949"/>
      <c r="X2" s="949"/>
      <c r="Y2" s="949"/>
      <c r="Z2" s="950"/>
      <c r="AA2" s="51" t="s">
        <v>81</v>
      </c>
      <c r="AB2" s="52"/>
      <c r="AC2" s="52"/>
      <c r="AD2" s="52"/>
      <c r="AE2" s="52"/>
      <c r="AF2" s="53"/>
      <c r="AG2" s="54"/>
      <c r="AH2" s="967"/>
      <c r="AI2" s="969"/>
      <c r="AJ2" s="970"/>
    </row>
    <row r="3" spans="1:41" s="55" customFormat="1">
      <c r="B3" s="978"/>
      <c r="C3" s="946"/>
      <c r="D3" s="946"/>
      <c r="E3" s="955"/>
      <c r="F3" s="955"/>
      <c r="G3" s="946"/>
      <c r="H3" s="973"/>
      <c r="I3" s="975"/>
      <c r="J3" s="946"/>
      <c r="K3" s="975"/>
      <c r="L3" s="946"/>
      <c r="M3" s="946"/>
      <c r="N3" s="946"/>
      <c r="O3" s="946"/>
      <c r="P3" s="946"/>
      <c r="Q3" s="961"/>
      <c r="R3" s="961"/>
      <c r="S3" s="961"/>
      <c r="T3" s="961"/>
      <c r="U3" s="416"/>
      <c r="V3" s="951" t="s">
        <v>82</v>
      </c>
      <c r="W3" s="951" t="s">
        <v>83</v>
      </c>
      <c r="X3" s="951" t="s">
        <v>84</v>
      </c>
      <c r="Y3" s="951" t="s">
        <v>85</v>
      </c>
      <c r="Z3" s="951" t="s">
        <v>86</v>
      </c>
      <c r="AA3" s="945" t="s">
        <v>87</v>
      </c>
      <c r="AB3" s="945" t="s">
        <v>88</v>
      </c>
      <c r="AC3" s="945" t="s">
        <v>89</v>
      </c>
      <c r="AD3" s="945" t="s">
        <v>90</v>
      </c>
      <c r="AE3" s="945" t="s">
        <v>91</v>
      </c>
      <c r="AF3" s="945" t="s">
        <v>92</v>
      </c>
      <c r="AG3" s="945" t="s">
        <v>93</v>
      </c>
      <c r="AH3" s="946"/>
      <c r="AI3" s="951" t="s">
        <v>94</v>
      </c>
      <c r="AJ3" s="951" t="s">
        <v>95</v>
      </c>
    </row>
    <row r="4" spans="1:41" s="55" customFormat="1">
      <c r="B4" s="978"/>
      <c r="C4" s="946"/>
      <c r="D4" s="946"/>
      <c r="E4" s="955"/>
      <c r="F4" s="955"/>
      <c r="G4" s="946"/>
      <c r="H4" s="973"/>
      <c r="I4" s="975"/>
      <c r="J4" s="946"/>
      <c r="K4" s="975"/>
      <c r="L4" s="946"/>
      <c r="M4" s="946"/>
      <c r="N4" s="946"/>
      <c r="O4" s="946"/>
      <c r="P4" s="946"/>
      <c r="Q4" s="961"/>
      <c r="R4" s="961"/>
      <c r="S4" s="961"/>
      <c r="T4" s="961"/>
      <c r="U4" s="416"/>
      <c r="V4" s="952"/>
      <c r="W4" s="952"/>
      <c r="X4" s="952"/>
      <c r="Y4" s="952"/>
      <c r="Z4" s="952"/>
      <c r="AA4" s="946"/>
      <c r="AB4" s="946"/>
      <c r="AC4" s="946"/>
      <c r="AD4" s="946"/>
      <c r="AE4" s="946"/>
      <c r="AF4" s="946"/>
      <c r="AG4" s="946"/>
      <c r="AH4" s="946"/>
      <c r="AI4" s="952"/>
      <c r="AJ4" s="952"/>
    </row>
    <row r="5" spans="1:41" s="55" customFormat="1" ht="60" customHeight="1">
      <c r="B5" s="979"/>
      <c r="C5" s="947"/>
      <c r="D5" s="947"/>
      <c r="E5" s="956"/>
      <c r="F5" s="956"/>
      <c r="G5" s="947"/>
      <c r="H5" s="974"/>
      <c r="I5" s="976"/>
      <c r="J5" s="947"/>
      <c r="K5" s="976"/>
      <c r="L5" s="947"/>
      <c r="M5" s="947"/>
      <c r="N5" s="947"/>
      <c r="O5" s="947"/>
      <c r="P5" s="947"/>
      <c r="Q5" s="962"/>
      <c r="R5" s="962"/>
      <c r="S5" s="962"/>
      <c r="T5" s="962"/>
      <c r="U5" s="417"/>
      <c r="V5" s="953"/>
      <c r="W5" s="953"/>
      <c r="X5" s="953"/>
      <c r="Y5" s="953"/>
      <c r="Z5" s="953"/>
      <c r="AA5" s="947"/>
      <c r="AB5" s="947"/>
      <c r="AC5" s="947"/>
      <c r="AD5" s="947"/>
      <c r="AE5" s="947"/>
      <c r="AF5" s="947"/>
      <c r="AG5" s="947"/>
      <c r="AH5" s="947"/>
      <c r="AI5" s="953"/>
      <c r="AJ5" s="953"/>
    </row>
    <row r="6" spans="1:41" s="55" customFormat="1">
      <c r="D6" s="56"/>
      <c r="F6" s="57"/>
      <c r="I6" s="596"/>
      <c r="J6" s="58"/>
      <c r="K6" s="596"/>
      <c r="L6" s="58"/>
      <c r="M6" s="59"/>
      <c r="N6" s="59"/>
      <c r="O6" s="59"/>
      <c r="P6" s="59"/>
      <c r="Q6" s="60"/>
      <c r="R6" s="60"/>
      <c r="S6" s="61"/>
      <c r="T6" s="61"/>
      <c r="U6" s="62"/>
      <c r="V6" s="63"/>
      <c r="W6" s="63"/>
      <c r="X6" s="63"/>
      <c r="Y6" s="63"/>
      <c r="Z6" s="63"/>
      <c r="AA6" s="63" t="s">
        <v>96</v>
      </c>
      <c r="AB6" s="63" t="s">
        <v>96</v>
      </c>
      <c r="AC6" s="63" t="s">
        <v>96</v>
      </c>
      <c r="AD6" s="58"/>
      <c r="AE6" s="63"/>
      <c r="AF6" s="63"/>
      <c r="AG6" s="63"/>
      <c r="AH6" s="63"/>
      <c r="AI6" s="63"/>
      <c r="AJ6" s="63"/>
    </row>
    <row r="7" spans="1:41" s="49" customFormat="1" ht="15.75" customHeight="1">
      <c r="A7" s="1001" t="s">
        <v>487</v>
      </c>
      <c r="B7" s="64">
        <v>1</v>
      </c>
      <c r="C7" s="64" t="s">
        <v>97</v>
      </c>
      <c r="D7" s="65" t="s">
        <v>98</v>
      </c>
      <c r="E7" s="66" t="s">
        <v>66</v>
      </c>
      <c r="F7" s="67"/>
      <c r="G7" s="66" t="s">
        <v>99</v>
      </c>
      <c r="H7" s="68">
        <v>0</v>
      </c>
      <c r="I7" s="100">
        <f>'CALCOLO VAC. E PEREQ 2020'!S74</f>
        <v>173.68</v>
      </c>
      <c r="J7" s="69">
        <f>1908.6*12</f>
        <v>22903.199999999997</v>
      </c>
      <c r="K7" s="100">
        <f>'CALCOLO VAC. E PEREQ 2020'!AE74</f>
        <v>204</v>
      </c>
      <c r="L7" s="69">
        <f>6.7*12</f>
        <v>80.400000000000006</v>
      </c>
      <c r="M7" s="70"/>
      <c r="N7" s="70"/>
      <c r="O7" s="70">
        <v>0</v>
      </c>
      <c r="P7" s="70">
        <f>(45.8*12)</f>
        <v>549.59999999999991</v>
      </c>
      <c r="Q7" s="71">
        <f>ROUND((I7+J7+L7+M7+N7)/12,2)</f>
        <v>1929.77</v>
      </c>
      <c r="R7" s="71">
        <v>0</v>
      </c>
      <c r="S7" s="71">
        <f>SUM(I7:R7)</f>
        <v>25840.649999999998</v>
      </c>
      <c r="T7" s="71"/>
      <c r="U7" s="72"/>
      <c r="V7" s="73"/>
      <c r="W7" s="73"/>
      <c r="X7" s="73"/>
      <c r="Y7" s="73"/>
      <c r="Z7" s="73"/>
      <c r="AA7" s="73"/>
      <c r="AB7" s="73"/>
      <c r="AC7" s="73"/>
      <c r="AD7" s="74"/>
      <c r="AE7" s="73"/>
      <c r="AF7" s="73"/>
      <c r="AG7" s="73"/>
      <c r="AH7" s="73">
        <f>236.8*12</f>
        <v>2841.6000000000004</v>
      </c>
      <c r="AI7" s="73"/>
      <c r="AJ7" s="73"/>
    </row>
    <row r="8" spans="1:41" s="49" customFormat="1">
      <c r="A8" s="955"/>
      <c r="B8" s="366">
        <v>2</v>
      </c>
      <c r="C8" s="366" t="s">
        <v>100</v>
      </c>
      <c r="D8" s="367"/>
      <c r="E8" s="368" t="s">
        <v>66</v>
      </c>
      <c r="F8" s="369"/>
      <c r="G8" s="368" t="s">
        <v>101</v>
      </c>
      <c r="H8" s="370">
        <v>0</v>
      </c>
      <c r="I8" s="371">
        <v>140.30000000000001</v>
      </c>
      <c r="J8" s="371">
        <f>1668.26*12</f>
        <v>20019.12</v>
      </c>
      <c r="K8" s="371">
        <v>276</v>
      </c>
      <c r="L8" s="371">
        <v>0</v>
      </c>
      <c r="M8" s="371">
        <f>4.61*12</f>
        <v>55.320000000000007</v>
      </c>
      <c r="N8" s="371"/>
      <c r="O8" s="371">
        <v>0</v>
      </c>
      <c r="P8" s="371">
        <f>39.31*12</f>
        <v>471.72</v>
      </c>
      <c r="Q8" s="371">
        <f t="shared" ref="Q8:Q14" si="0">ROUND((I8+J8+L8+M8+N8)/12,2)</f>
        <v>1684.56</v>
      </c>
      <c r="R8" s="371"/>
      <c r="S8" s="371">
        <f t="shared" ref="S8:S14" si="1">SUM(I8:R8)</f>
        <v>22647.02</v>
      </c>
      <c r="T8" s="71"/>
      <c r="U8" s="77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</row>
    <row r="9" spans="1:41" s="49" customFormat="1">
      <c r="A9" s="955"/>
      <c r="B9" s="64">
        <v>3</v>
      </c>
      <c r="C9" s="64" t="s">
        <v>102</v>
      </c>
      <c r="D9" s="75"/>
      <c r="E9" s="66" t="s">
        <v>66</v>
      </c>
      <c r="F9" s="67"/>
      <c r="G9" s="76" t="s">
        <v>103</v>
      </c>
      <c r="H9" s="68">
        <v>0</v>
      </c>
      <c r="I9" s="201">
        <f>'CALCOLO VAC. E PEREQ 2020'!S35</f>
        <v>75.92</v>
      </c>
      <c r="J9" s="70">
        <f>1668.26*50%*12</f>
        <v>10009.56</v>
      </c>
      <c r="K9" s="201">
        <f>'CALCOLO VAC. E PEREQ 2020'!AE35</f>
        <v>138</v>
      </c>
      <c r="L9" s="70">
        <f>17*12</f>
        <v>204</v>
      </c>
      <c r="M9" s="70">
        <f>2.31*12</f>
        <v>27.72</v>
      </c>
      <c r="N9" s="70"/>
      <c r="O9" s="70">
        <v>0</v>
      </c>
      <c r="P9" s="70">
        <f>19.66*12</f>
        <v>235.92000000000002</v>
      </c>
      <c r="Q9" s="71">
        <f t="shared" si="0"/>
        <v>859.77</v>
      </c>
      <c r="R9" s="71">
        <v>0</v>
      </c>
      <c r="S9" s="71">
        <f t="shared" si="1"/>
        <v>11550.89</v>
      </c>
      <c r="T9" s="71"/>
      <c r="U9" s="77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41" s="49" customFormat="1">
      <c r="A10" s="955"/>
      <c r="B10" s="64"/>
      <c r="C10" s="64"/>
      <c r="D10" s="75"/>
      <c r="E10" s="66"/>
      <c r="F10" s="67"/>
      <c r="G10" s="76"/>
      <c r="H10" s="68">
        <f t="shared" ref="H10:H16" si="2">(J10+K10+P10+Q10)*3%</f>
        <v>0</v>
      </c>
      <c r="I10" s="201"/>
      <c r="J10" s="70">
        <v>0</v>
      </c>
      <c r="K10" s="201"/>
      <c r="L10" s="70">
        <v>0</v>
      </c>
      <c r="M10" s="70"/>
      <c r="N10" s="70"/>
      <c r="O10" s="70">
        <v>0</v>
      </c>
      <c r="P10" s="70">
        <v>0</v>
      </c>
      <c r="Q10" s="71">
        <f t="shared" si="0"/>
        <v>0</v>
      </c>
      <c r="R10" s="71"/>
      <c r="S10" s="71">
        <f>SUM(I10:R10)</f>
        <v>0</v>
      </c>
      <c r="T10" s="71"/>
      <c r="U10" s="77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>
        <f>(12.76*12)+(31.27*12)</f>
        <v>528.36</v>
      </c>
      <c r="AI10" s="74"/>
      <c r="AJ10" s="74"/>
    </row>
    <row r="11" spans="1:41" s="102" customFormat="1" ht="45">
      <c r="A11" s="955"/>
      <c r="B11" s="223">
        <v>4</v>
      </c>
      <c r="C11" s="95" t="s">
        <v>104</v>
      </c>
      <c r="D11" s="176"/>
      <c r="E11" s="97" t="s">
        <v>66</v>
      </c>
      <c r="F11" s="98"/>
      <c r="G11" s="226" t="s">
        <v>105</v>
      </c>
      <c r="H11" s="228">
        <v>0</v>
      </c>
      <c r="I11" s="201">
        <f>'CALCOLO VAC. E PEREQ 2020'!S95</f>
        <v>193.04999999999998</v>
      </c>
      <c r="J11" s="201">
        <f>2120.99*12</f>
        <v>25451.879999999997</v>
      </c>
      <c r="K11" s="201">
        <f>'CALCOLO VAC. E PEREQ 2020'!AE95</f>
        <v>108</v>
      </c>
      <c r="L11" s="201"/>
      <c r="M11" s="201"/>
      <c r="N11" s="201"/>
      <c r="O11" s="201">
        <v>0</v>
      </c>
      <c r="P11" s="201">
        <f>(51.9*12)</f>
        <v>622.79999999999995</v>
      </c>
      <c r="Q11" s="201">
        <f t="shared" si="0"/>
        <v>2137.08</v>
      </c>
      <c r="R11" s="201">
        <v>0</v>
      </c>
      <c r="S11" s="201">
        <f>SUM(I11:R11)</f>
        <v>28512.809999999998</v>
      </c>
      <c r="T11" s="201"/>
      <c r="U11" s="277" t="s">
        <v>106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</row>
    <row r="12" spans="1:41" s="49" customFormat="1">
      <c r="A12" s="955"/>
      <c r="B12" s="86">
        <v>5</v>
      </c>
      <c r="C12" s="87" t="s">
        <v>107</v>
      </c>
      <c r="D12" s="88"/>
      <c r="E12" s="89"/>
      <c r="F12" s="90"/>
      <c r="G12" s="89" t="s">
        <v>103</v>
      </c>
      <c r="H12" s="91"/>
      <c r="I12" s="201">
        <f>'CALCOLO VAC. E PEREQ 2020'!S37</f>
        <v>75.92</v>
      </c>
      <c r="J12" s="70">
        <f>1668.26*50%*12</f>
        <v>10009.56</v>
      </c>
      <c r="K12" s="201">
        <f>'CALCOLO VAC. E PEREQ 2020'!AE37</f>
        <v>138</v>
      </c>
      <c r="L12" s="70">
        <f>11.49*12</f>
        <v>137.88</v>
      </c>
      <c r="M12" s="70">
        <f>2.31*12</f>
        <v>27.72</v>
      </c>
      <c r="N12" s="92"/>
      <c r="O12" s="92">
        <v>0</v>
      </c>
      <c r="P12" s="70">
        <f>19.66*12</f>
        <v>235.92000000000002</v>
      </c>
      <c r="Q12" s="71">
        <f t="shared" si="0"/>
        <v>854.26</v>
      </c>
      <c r="R12" s="92">
        <v>0</v>
      </c>
      <c r="S12" s="71">
        <f>SUM(I12:R12)</f>
        <v>11479.259999999998</v>
      </c>
      <c r="T12" s="92"/>
      <c r="U12" s="9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41" s="102" customFormat="1" ht="42.75" customHeight="1">
      <c r="A13" s="955"/>
      <c r="B13" s="372">
        <v>6</v>
      </c>
      <c r="C13" s="373" t="s">
        <v>470</v>
      </c>
      <c r="D13" s="374"/>
      <c r="E13" s="375" t="s">
        <v>66</v>
      </c>
      <c r="F13" s="376"/>
      <c r="G13" s="375" t="s">
        <v>0</v>
      </c>
      <c r="H13" s="377">
        <v>0</v>
      </c>
      <c r="I13" s="378">
        <v>133.44999999999999</v>
      </c>
      <c r="J13" s="378">
        <f>19063.8</f>
        <v>19063.8</v>
      </c>
      <c r="K13" s="378">
        <f>24*12</f>
        <v>288</v>
      </c>
      <c r="L13" s="378">
        <v>0</v>
      </c>
      <c r="M13" s="378"/>
      <c r="N13" s="378"/>
      <c r="O13" s="378">
        <v>0</v>
      </c>
      <c r="P13" s="371">
        <f>39.31*12</f>
        <v>471.72</v>
      </c>
      <c r="Q13" s="371">
        <f>ROUND((I13+J13+L13+M13+N13)/12,2)</f>
        <v>1599.77</v>
      </c>
      <c r="R13" s="378">
        <v>0</v>
      </c>
      <c r="S13" s="371">
        <f>SUM(I13:R13)</f>
        <v>21556.74</v>
      </c>
      <c r="T13" s="100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</row>
    <row r="14" spans="1:41" s="102" customFormat="1">
      <c r="A14" s="956"/>
      <c r="B14" s="223"/>
      <c r="C14" s="224"/>
      <c r="D14" s="251"/>
      <c r="E14" s="226" t="s">
        <v>66</v>
      </c>
      <c r="F14" s="252"/>
      <c r="G14" s="226"/>
      <c r="H14" s="228">
        <f t="shared" si="2"/>
        <v>0</v>
      </c>
      <c r="I14" s="201"/>
      <c r="J14" s="201">
        <v>0</v>
      </c>
      <c r="K14" s="201"/>
      <c r="L14" s="201">
        <v>0</v>
      </c>
      <c r="M14" s="201"/>
      <c r="N14" s="201"/>
      <c r="O14" s="201">
        <v>0</v>
      </c>
      <c r="P14" s="201">
        <v>0</v>
      </c>
      <c r="Q14" s="201">
        <f t="shared" si="0"/>
        <v>0</v>
      </c>
      <c r="R14" s="201">
        <v>0</v>
      </c>
      <c r="S14" s="201">
        <f t="shared" si="1"/>
        <v>0</v>
      </c>
      <c r="T14" s="17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</row>
    <row r="16" spans="1:41" s="49" customFormat="1" ht="15.75" thickBot="1">
      <c r="B16" s="103"/>
      <c r="C16" s="104"/>
      <c r="D16" s="105"/>
      <c r="E16" s="106" t="s">
        <v>66</v>
      </c>
      <c r="F16" s="107"/>
      <c r="G16" s="108"/>
      <c r="H16" s="109">
        <f t="shared" si="2"/>
        <v>0</v>
      </c>
      <c r="I16" s="597"/>
      <c r="J16" s="111"/>
      <c r="K16" s="611"/>
      <c r="L16" s="110"/>
      <c r="M16" s="110"/>
      <c r="N16" s="111"/>
      <c r="O16" s="111"/>
      <c r="P16" s="111"/>
      <c r="Q16" s="112"/>
      <c r="R16" s="112"/>
      <c r="S16" s="112"/>
      <c r="T16" s="112">
        <v>0</v>
      </c>
      <c r="U16" s="113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49" customFormat="1" ht="17.25" thickTop="1" thickBot="1">
      <c r="D17" s="115"/>
      <c r="F17" s="116"/>
      <c r="H17" s="117">
        <f t="shared" ref="H17:T17" si="3">SUM(H7:H16)</f>
        <v>0</v>
      </c>
      <c r="I17" s="573">
        <f>SUM(I7:I16)</f>
        <v>792.31999999999994</v>
      </c>
      <c r="J17" s="117">
        <f>SUM(J7:J16)</f>
        <v>107457.11999999998</v>
      </c>
      <c r="K17" s="573">
        <f t="shared" si="3"/>
        <v>1152</v>
      </c>
      <c r="L17" s="117">
        <f t="shared" si="3"/>
        <v>422.28</v>
      </c>
      <c r="M17" s="117">
        <f t="shared" si="3"/>
        <v>110.76</v>
      </c>
      <c r="N17" s="117">
        <f t="shared" si="3"/>
        <v>0</v>
      </c>
      <c r="O17" s="117">
        <f t="shared" si="3"/>
        <v>0</v>
      </c>
      <c r="P17" s="117">
        <f t="shared" si="3"/>
        <v>2587.6800000000003</v>
      </c>
      <c r="Q17" s="118">
        <f>SUM(Q7:Q16)</f>
        <v>9065.2100000000009</v>
      </c>
      <c r="R17" s="118">
        <f t="shared" si="3"/>
        <v>0</v>
      </c>
      <c r="S17" s="118">
        <f>SUM(S7:S16)</f>
        <v>121587.37</v>
      </c>
      <c r="T17" s="118">
        <f t="shared" si="3"/>
        <v>0</v>
      </c>
      <c r="U17" s="119"/>
      <c r="V17" s="120">
        <f>S17+T17-R17</f>
        <v>121587.37</v>
      </c>
      <c r="W17" s="120">
        <f>S17-P17-R17-K17</f>
        <v>117847.69</v>
      </c>
      <c r="X17" s="120">
        <f>S17+T17-R17</f>
        <v>121587.37</v>
      </c>
      <c r="Y17" s="120">
        <v>0</v>
      </c>
      <c r="Z17" s="120">
        <f>S17+T17-R17</f>
        <v>121587.37</v>
      </c>
      <c r="AA17" s="120">
        <f>ROUND((V17*23.8%),0)</f>
        <v>28938</v>
      </c>
      <c r="AB17" s="120">
        <f>ROUND((W17*2.88%),0)</f>
        <v>3394</v>
      </c>
      <c r="AC17" s="120">
        <v>0</v>
      </c>
      <c r="AD17" s="121">
        <f>ROUND((X17-S10)*0.5%,0)+ROUND(S10*1.4%,0)</f>
        <v>608</v>
      </c>
      <c r="AE17" s="122">
        <f>ROUND(Y17*1.61%,0)</f>
        <v>0</v>
      </c>
      <c r="AF17" s="120">
        <f>SUM(AA17:AE17)</f>
        <v>32940</v>
      </c>
      <c r="AG17" s="121">
        <f>ROUND((V17*8.5%),0)</f>
        <v>10335</v>
      </c>
      <c r="AH17" s="121">
        <f>SUM(AH7:AH16)</f>
        <v>3369.9600000000005</v>
      </c>
      <c r="AI17" s="121">
        <f>S17-R17+T17-AA18-AB18-AC18</f>
        <v>121587.37</v>
      </c>
      <c r="AJ17" s="121">
        <f>ROUND((S17+T17-R17-AA18-AB18-AC18)*29%,0)</f>
        <v>35260</v>
      </c>
    </row>
    <row r="18" spans="1:36" s="49" customFormat="1" ht="17.25" thickTop="1" thickBot="1">
      <c r="D18" s="115"/>
      <c r="F18" s="116"/>
      <c r="I18" s="598"/>
      <c r="J18" s="123"/>
      <c r="K18" s="598"/>
      <c r="L18" s="123"/>
      <c r="M18" s="123"/>
      <c r="N18" s="123"/>
      <c r="O18" s="123"/>
      <c r="P18" s="123"/>
      <c r="Q18" s="124"/>
      <c r="R18" s="124"/>
      <c r="S18" s="124"/>
      <c r="T18" s="125"/>
      <c r="U18" s="125"/>
      <c r="V18" s="126"/>
      <c r="W18" s="126"/>
      <c r="X18" s="127"/>
      <c r="Y18" s="127"/>
      <c r="Z18" s="128"/>
      <c r="AA18" s="129"/>
      <c r="AB18" s="129"/>
      <c r="AC18" s="129"/>
      <c r="AD18" s="130"/>
      <c r="AE18" s="48"/>
      <c r="AF18" s="129"/>
      <c r="AG18" s="127"/>
      <c r="AH18" s="127"/>
      <c r="AI18" s="127"/>
      <c r="AJ18" s="127"/>
    </row>
    <row r="19" spans="1:36" s="49" customFormat="1" ht="16.5" hidden="1" thickTop="1">
      <c r="C19" s="131"/>
      <c r="D19" s="115"/>
      <c r="F19" s="116"/>
      <c r="I19" s="599"/>
      <c r="J19" s="132"/>
      <c r="K19" s="598"/>
      <c r="L19" s="131"/>
      <c r="M19" s="123"/>
      <c r="N19" s="123"/>
      <c r="O19" s="123"/>
      <c r="P19" s="123"/>
      <c r="Q19" s="124"/>
      <c r="R19" s="124"/>
      <c r="S19" s="124"/>
      <c r="T19" s="125"/>
      <c r="U19" s="125"/>
      <c r="V19" s="126"/>
      <c r="W19" s="126"/>
      <c r="X19" s="401"/>
      <c r="Y19" s="127"/>
      <c r="Z19" s="127"/>
      <c r="AA19" s="130"/>
      <c r="AB19" s="130"/>
      <c r="AC19" s="130"/>
      <c r="AD19" s="130"/>
      <c r="AE19" s="48"/>
      <c r="AF19" s="130"/>
      <c r="AG19" s="127"/>
      <c r="AH19" s="127"/>
      <c r="AI19" s="127"/>
      <c r="AJ19" s="127"/>
    </row>
    <row r="20" spans="1:36" s="49" customFormat="1" ht="15.75" hidden="1">
      <c r="D20" s="115"/>
      <c r="F20" s="116"/>
      <c r="I20" s="598"/>
      <c r="J20" s="123"/>
      <c r="K20" s="598"/>
      <c r="L20" s="123"/>
      <c r="M20" s="123"/>
      <c r="N20" s="123"/>
      <c r="O20" s="123"/>
      <c r="P20" s="123"/>
      <c r="Q20" s="124"/>
      <c r="R20" s="124"/>
      <c r="S20" s="124"/>
      <c r="T20" s="125"/>
      <c r="U20" s="125"/>
      <c r="V20" s="126"/>
      <c r="W20" s="126"/>
      <c r="X20" s="127"/>
      <c r="Y20" s="127"/>
      <c r="Z20" s="127"/>
      <c r="AA20" s="130"/>
      <c r="AB20" s="130"/>
      <c r="AC20" s="130"/>
      <c r="AD20" s="130"/>
      <c r="AE20" s="48"/>
      <c r="AF20" s="130"/>
      <c r="AG20" s="127"/>
      <c r="AH20" s="127"/>
      <c r="AI20" s="127"/>
      <c r="AJ20" s="127"/>
    </row>
    <row r="21" spans="1:36" s="49" customFormat="1" ht="16.5" hidden="1" thickBot="1">
      <c r="B21" s="103"/>
      <c r="C21" s="133"/>
      <c r="D21" s="134"/>
      <c r="E21" s="135"/>
      <c r="F21" s="136"/>
      <c r="G21" s="135"/>
      <c r="H21" s="137"/>
      <c r="I21" s="199"/>
      <c r="J21" s="138"/>
      <c r="K21" s="199"/>
      <c r="L21" s="138"/>
      <c r="M21" s="138"/>
      <c r="N21" s="138"/>
      <c r="O21" s="138"/>
      <c r="P21" s="138"/>
      <c r="Q21" s="139">
        <f>ROUND((J21+K21+L21+M21+N21)/12,2)</f>
        <v>0</v>
      </c>
      <c r="R21" s="139">
        <v>0</v>
      </c>
      <c r="S21" s="139">
        <f>SUM(J21:R21)</f>
        <v>0</v>
      </c>
      <c r="T21" s="139"/>
      <c r="U21" s="139"/>
      <c r="V21" s="140"/>
      <c r="W21" s="140"/>
      <c r="X21" s="140"/>
      <c r="Y21" s="140"/>
      <c r="Z21" s="141"/>
      <c r="AA21" s="129"/>
      <c r="AB21" s="129"/>
      <c r="AC21" s="129"/>
      <c r="AD21" s="129"/>
      <c r="AE21" s="142"/>
      <c r="AF21" s="129"/>
      <c r="AG21" s="140"/>
      <c r="AH21" s="141"/>
      <c r="AI21" s="140"/>
      <c r="AJ21" s="140"/>
    </row>
    <row r="22" spans="1:36" s="49" customFormat="1" ht="17.25" hidden="1" thickTop="1" thickBot="1">
      <c r="D22" s="115"/>
      <c r="F22" s="116"/>
      <c r="G22" s="418"/>
      <c r="H22" s="120">
        <f t="shared" ref="H22:T22" si="4">SUM(H21:H21)</f>
        <v>0</v>
      </c>
      <c r="I22" s="570"/>
      <c r="J22" s="120">
        <f t="shared" si="4"/>
        <v>0</v>
      </c>
      <c r="K22" s="570">
        <f t="shared" si="4"/>
        <v>0</v>
      </c>
      <c r="L22" s="120">
        <f t="shared" si="4"/>
        <v>0</v>
      </c>
      <c r="M22" s="120">
        <f t="shared" si="4"/>
        <v>0</v>
      </c>
      <c r="N22" s="120">
        <f t="shared" si="4"/>
        <v>0</v>
      </c>
      <c r="O22" s="120">
        <f t="shared" si="4"/>
        <v>0</v>
      </c>
      <c r="P22" s="120">
        <f t="shared" si="4"/>
        <v>0</v>
      </c>
      <c r="Q22" s="119">
        <f t="shared" si="4"/>
        <v>0</v>
      </c>
      <c r="R22" s="119">
        <f t="shared" si="4"/>
        <v>0</v>
      </c>
      <c r="S22" s="119">
        <f t="shared" si="4"/>
        <v>0</v>
      </c>
      <c r="T22" s="119">
        <f t="shared" si="4"/>
        <v>0</v>
      </c>
      <c r="U22" s="119"/>
      <c r="V22" s="120">
        <f>S22+T22-R22</f>
        <v>0</v>
      </c>
      <c r="W22" s="120">
        <f>S22-P22-R22</f>
        <v>0</v>
      </c>
      <c r="X22" s="120">
        <f>S22+T22-R22</f>
        <v>0</v>
      </c>
      <c r="Y22" s="120">
        <f>W22+X22-V22</f>
        <v>0</v>
      </c>
      <c r="Z22" s="120">
        <f>S22+T22-R22</f>
        <v>0</v>
      </c>
      <c r="AA22" s="143">
        <f>ROUND((V22*23.8%),0)</f>
        <v>0</v>
      </c>
      <c r="AB22" s="120">
        <f>ROUND((W22*2.88%),0)</f>
        <v>0</v>
      </c>
      <c r="AC22" s="120">
        <v>0</v>
      </c>
      <c r="AD22" s="121">
        <f>ROUND((X22*0.5%),0)</f>
        <v>0</v>
      </c>
      <c r="AE22" s="121">
        <f>ROUND((Y22*1.61%),0)</f>
        <v>0</v>
      </c>
      <c r="AF22" s="120">
        <f>SUM(AA22:AE22)</f>
        <v>0</v>
      </c>
      <c r="AG22" s="122">
        <f>ROUND((V22*8.5%),0)</f>
        <v>0</v>
      </c>
      <c r="AH22" s="121">
        <f>SUM(AH21:AH21)</f>
        <v>0</v>
      </c>
      <c r="AI22" s="121">
        <f>S22-R22+T22-AA23-AB23-AC23</f>
        <v>0</v>
      </c>
      <c r="AJ22" s="121">
        <f>ROUND((S22+T22-R22-AA23-AB23-AC23)*29%,0)</f>
        <v>0</v>
      </c>
    </row>
    <row r="23" spans="1:36" s="49" customFormat="1" ht="17.25" hidden="1" thickTop="1" thickBot="1">
      <c r="D23" s="115"/>
      <c r="F23" s="116"/>
      <c r="G23" s="418"/>
      <c r="H23" s="418"/>
      <c r="I23" s="295"/>
      <c r="J23" s="127"/>
      <c r="K23" s="295"/>
      <c r="L23" s="127"/>
      <c r="M23" s="127"/>
      <c r="N23" s="127"/>
      <c r="O23" s="127"/>
      <c r="P23" s="127"/>
      <c r="Q23" s="144"/>
      <c r="R23" s="145"/>
      <c r="S23" s="144"/>
      <c r="T23" s="144"/>
      <c r="U23" s="144"/>
      <c r="V23" s="146"/>
      <c r="W23" s="146"/>
      <c r="X23" s="127"/>
      <c r="Y23" s="127"/>
      <c r="Z23" s="126"/>
      <c r="AA23" s="129">
        <f>ROUND((V22*8.85%),0)</f>
        <v>0</v>
      </c>
      <c r="AB23" s="129">
        <f>ROUND((W22*2%),0)</f>
        <v>0</v>
      </c>
      <c r="AC23" s="129">
        <f>ROUND((V22*0.35%),0)</f>
        <v>0</v>
      </c>
      <c r="AD23" s="130"/>
      <c r="AE23" s="48"/>
      <c r="AF23" s="129">
        <f>SUM(AA23:AE23)</f>
        <v>0</v>
      </c>
      <c r="AG23" s="127"/>
      <c r="AH23" s="126"/>
      <c r="AI23" s="127"/>
      <c r="AJ23" s="127"/>
    </row>
    <row r="24" spans="1:36" s="49" customFormat="1" ht="32.25" thickTop="1" thickBot="1">
      <c r="A24" s="651" t="s">
        <v>489</v>
      </c>
      <c r="B24" s="103">
        <v>7</v>
      </c>
      <c r="C24" s="591" t="s">
        <v>553</v>
      </c>
      <c r="D24" s="659"/>
      <c r="E24" s="660"/>
      <c r="F24" s="661" t="s">
        <v>108</v>
      </c>
      <c r="G24" s="660" t="s">
        <v>2</v>
      </c>
      <c r="H24" s="662"/>
      <c r="I24" s="663">
        <f>'CALCOLO VAC. E PEREQ 2020'!S55</f>
        <v>84.870500000000007</v>
      </c>
      <c r="J24" s="663">
        <f>1695.34*12*55%</f>
        <v>11189.244000000001</v>
      </c>
      <c r="K24" s="663">
        <f>'CALCOLO VAC. E PEREQ 2020'!AE55</f>
        <v>151.80000000000001</v>
      </c>
      <c r="L24" s="663">
        <v>0</v>
      </c>
      <c r="M24" s="663"/>
      <c r="N24" s="663"/>
      <c r="O24" s="663">
        <v>0</v>
      </c>
      <c r="P24" s="663">
        <f>(45.8*12)*55%</f>
        <v>302.27999999999997</v>
      </c>
      <c r="Q24" s="663">
        <f>ROUND((J24+L24+M24+N24)/12,2)</f>
        <v>932.44</v>
      </c>
      <c r="R24" s="663">
        <v>0</v>
      </c>
      <c r="S24" s="663">
        <f>SUM(J24:R24)</f>
        <v>12575.764000000001</v>
      </c>
      <c r="T24" s="139"/>
      <c r="U24" s="139"/>
      <c r="V24" s="140"/>
      <c r="W24" s="140"/>
      <c r="X24" s="140"/>
      <c r="Y24" s="140"/>
      <c r="Z24" s="141"/>
      <c r="AA24" s="129"/>
      <c r="AB24" s="129"/>
      <c r="AC24" s="129"/>
      <c r="AD24" s="129"/>
      <c r="AE24" s="142"/>
      <c r="AF24" s="129"/>
      <c r="AG24" s="140"/>
      <c r="AH24" s="141"/>
      <c r="AI24" s="140"/>
      <c r="AJ24" s="140"/>
    </row>
    <row r="25" spans="1:36" s="49" customFormat="1" ht="17.25" thickTop="1" thickBot="1">
      <c r="D25" s="115"/>
      <c r="F25" s="116"/>
      <c r="G25" s="418"/>
      <c r="H25" s="120">
        <f>SUM(H24:H24)</f>
        <v>0</v>
      </c>
      <c r="I25" s="570">
        <f t="shared" ref="I25:T25" si="5">SUM(I24:I24)</f>
        <v>84.870500000000007</v>
      </c>
      <c r="J25" s="120">
        <f>SUM(J24:J24)</f>
        <v>11189.244000000001</v>
      </c>
      <c r="K25" s="570">
        <f t="shared" si="5"/>
        <v>151.80000000000001</v>
      </c>
      <c r="L25" s="120">
        <f t="shared" si="5"/>
        <v>0</v>
      </c>
      <c r="M25" s="120">
        <f t="shared" si="5"/>
        <v>0</v>
      </c>
      <c r="N25" s="120">
        <f t="shared" si="5"/>
        <v>0</v>
      </c>
      <c r="O25" s="120">
        <f t="shared" si="5"/>
        <v>0</v>
      </c>
      <c r="P25" s="120">
        <f t="shared" si="5"/>
        <v>302.27999999999997</v>
      </c>
      <c r="Q25" s="119">
        <f t="shared" si="5"/>
        <v>932.44</v>
      </c>
      <c r="R25" s="119">
        <f t="shared" si="5"/>
        <v>0</v>
      </c>
      <c r="S25" s="119">
        <f>SUM(S24:S24)</f>
        <v>12575.764000000001</v>
      </c>
      <c r="T25" s="119">
        <f t="shared" si="5"/>
        <v>0</v>
      </c>
      <c r="U25" s="119"/>
      <c r="V25" s="120">
        <f>S25+T25-R25</f>
        <v>12575.764000000001</v>
      </c>
      <c r="W25" s="120">
        <f>S25-P25-R25-K25</f>
        <v>12121.684000000001</v>
      </c>
      <c r="X25" s="120">
        <f>S25+T25-R25</f>
        <v>12575.764000000001</v>
      </c>
      <c r="Y25" s="120">
        <f>W25+X25-V25</f>
        <v>12121.684000000003</v>
      </c>
      <c r="Z25" s="120">
        <f>S25+T25-R25</f>
        <v>12575.764000000001</v>
      </c>
      <c r="AA25" s="143">
        <f>ROUND((V25*23.8%),0)</f>
        <v>2993</v>
      </c>
      <c r="AB25" s="120">
        <f>ROUND((W25*2.88%),0)</f>
        <v>349</v>
      </c>
      <c r="AC25" s="120">
        <v>0</v>
      </c>
      <c r="AD25" s="121">
        <f>ROUND((X25*0.5%),0)</f>
        <v>63</v>
      </c>
      <c r="AE25" s="121">
        <f>ROUND((Y25*1.61%),0)</f>
        <v>195</v>
      </c>
      <c r="AF25" s="120">
        <f>SUM(AA25:AE25)</f>
        <v>3600</v>
      </c>
      <c r="AG25" s="122">
        <f>ROUND((Z25*8.5%),0)</f>
        <v>1069</v>
      </c>
      <c r="AH25" s="121">
        <f>SUM(AH24:AH24)</f>
        <v>0</v>
      </c>
      <c r="AI25" s="121">
        <f>S25-R25+T25-AA26-AB26-AC26</f>
        <v>12575.764000000001</v>
      </c>
      <c r="AJ25" s="121">
        <f>ROUND((S25+T25-R25-AA26-AB26-AC26)*29%,0)</f>
        <v>3647</v>
      </c>
    </row>
    <row r="26" spans="1:36" s="102" customFormat="1" ht="15.75" thickTop="1">
      <c r="A26" s="226" t="s">
        <v>488</v>
      </c>
      <c r="B26" s="94"/>
      <c r="C26" s="231" t="s">
        <v>672</v>
      </c>
      <c r="D26" s="359" t="s">
        <v>98</v>
      </c>
      <c r="E26" s="94" t="s">
        <v>66</v>
      </c>
      <c r="F26" s="252"/>
      <c r="G26" s="226"/>
      <c r="H26" s="228">
        <v>0</v>
      </c>
      <c r="I26" s="201">
        <f>20.16*12+23.32*12</f>
        <v>521.76</v>
      </c>
      <c r="J26" s="201">
        <f>3331.61*12</f>
        <v>39979.32</v>
      </c>
      <c r="K26" s="201"/>
      <c r="L26" s="201"/>
      <c r="M26" s="201"/>
      <c r="N26" s="201">
        <f>(1198.8+715.09+1316.42)*12</f>
        <v>38763.72</v>
      </c>
      <c r="O26" s="201">
        <f>N26*20%</f>
        <v>7752.7440000000006</v>
      </c>
      <c r="P26" s="201">
        <v>0</v>
      </c>
      <c r="Q26" s="201">
        <f>ROUND((I26+J26+L26+M26+N26)/12,2)</f>
        <v>6605.4</v>
      </c>
      <c r="R26" s="201">
        <v>0</v>
      </c>
      <c r="S26" s="201">
        <f>SUM(I26:R26)</f>
        <v>93622.944000000003</v>
      </c>
      <c r="T26" s="201"/>
      <c r="U26" s="277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>
        <f>533.79*6</f>
        <v>3202.74</v>
      </c>
      <c r="AI26" s="171"/>
      <c r="AJ26" s="171"/>
    </row>
    <row r="27" spans="1:36" s="102" customFormat="1" ht="30.75" thickBot="1">
      <c r="B27" s="590">
        <v>8</v>
      </c>
      <c r="C27" s="924" t="s">
        <v>737</v>
      </c>
      <c r="D27" s="282"/>
      <c r="E27" s="283" t="s">
        <v>66</v>
      </c>
      <c r="F27" s="284"/>
      <c r="G27" s="66" t="s">
        <v>157</v>
      </c>
      <c r="H27" s="68">
        <v>0</v>
      </c>
      <c r="I27" s="201">
        <f>'CALCOLO VAC. E PEREQ 2020'!S63</f>
        <v>92.137500000000017</v>
      </c>
      <c r="J27" s="71">
        <f>1735.77*7</f>
        <v>12150.39</v>
      </c>
      <c r="K27" s="201">
        <f>'CALCOLO VAC. E PEREQ 2020'!AE63</f>
        <v>154</v>
      </c>
      <c r="L27" s="69"/>
      <c r="M27" s="69"/>
      <c r="N27" s="69"/>
      <c r="O27" s="69"/>
      <c r="P27" s="69">
        <f>(45.8*7)</f>
        <v>320.59999999999997</v>
      </c>
      <c r="Q27" s="623">
        <f>ROUND((I27+J27+L27+M27+N27)/7,2)</f>
        <v>1748.93</v>
      </c>
      <c r="R27" s="664"/>
      <c r="S27" s="665">
        <f>SUM(I27:R27)</f>
        <v>14466.057500000001</v>
      </c>
      <c r="T27" s="71">
        <v>0</v>
      </c>
      <c r="U27" s="77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</row>
    <row r="28" spans="1:36" s="49" customFormat="1" ht="16.5" thickTop="1" thickBot="1">
      <c r="B28" s="103">
        <v>9</v>
      </c>
      <c r="C28" s="148" t="s">
        <v>480</v>
      </c>
      <c r="D28" s="149"/>
      <c r="E28" s="150" t="s">
        <v>66</v>
      </c>
      <c r="F28" s="151"/>
      <c r="G28" s="150" t="s">
        <v>2</v>
      </c>
      <c r="H28" s="152">
        <v>0</v>
      </c>
      <c r="I28" s="154">
        <f>'CALCOLO VAC. E PEREQ 2020'!S50</f>
        <v>154.31</v>
      </c>
      <c r="J28" s="153">
        <f>1695.34*12</f>
        <v>20344.079999999998</v>
      </c>
      <c r="K28" s="154">
        <f>'CALCOLO VAC. E PEREQ 2020'!AE50</f>
        <v>276</v>
      </c>
      <c r="L28" s="153">
        <v>0</v>
      </c>
      <c r="M28" s="153"/>
      <c r="N28" s="154"/>
      <c r="O28" s="153">
        <v>0</v>
      </c>
      <c r="P28" s="153">
        <f>(45.8*12)</f>
        <v>549.59999999999991</v>
      </c>
      <c r="Q28" s="201">
        <f t="shared" ref="Q28" si="6">ROUND((I28+J28+L28+M28+N28)/12,2)</f>
        <v>1708.2</v>
      </c>
      <c r="R28" s="153"/>
      <c r="S28" s="139">
        <f>SUM(I28:R28)</f>
        <v>23032.19</v>
      </c>
      <c r="T28" s="71">
        <v>0</v>
      </c>
      <c r="U28" s="77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74"/>
      <c r="AG28" s="114"/>
      <c r="AH28" s="114"/>
      <c r="AI28" s="114"/>
      <c r="AJ28" s="114"/>
    </row>
    <row r="29" spans="1:36" s="49" customFormat="1" ht="17.25" thickTop="1" thickBot="1">
      <c r="D29" s="115"/>
      <c r="F29" s="116"/>
      <c r="H29" s="117">
        <v>0</v>
      </c>
      <c r="I29" s="573">
        <f>SUM(I26:I28)</f>
        <v>768.20749999999998</v>
      </c>
      <c r="J29" s="117">
        <f t="shared" ref="J29:T29" si="7">SUM(J26:J28)</f>
        <v>72473.789999999994</v>
      </c>
      <c r="K29" s="573">
        <f t="shared" si="7"/>
        <v>430</v>
      </c>
      <c r="L29" s="117">
        <f t="shared" si="7"/>
        <v>0</v>
      </c>
      <c r="M29" s="117">
        <f t="shared" si="7"/>
        <v>0</v>
      </c>
      <c r="N29" s="117">
        <f t="shared" si="7"/>
        <v>38763.72</v>
      </c>
      <c r="O29" s="117">
        <f t="shared" si="7"/>
        <v>7752.7440000000006</v>
      </c>
      <c r="P29" s="117">
        <f t="shared" si="7"/>
        <v>870.19999999999982</v>
      </c>
      <c r="Q29" s="118">
        <f>SUM(Q26:Q28)</f>
        <v>10062.530000000001</v>
      </c>
      <c r="R29" s="118">
        <f t="shared" si="7"/>
        <v>0</v>
      </c>
      <c r="S29" s="118">
        <f>SUM(S26:S28)</f>
        <v>131121.19149999999</v>
      </c>
      <c r="T29" s="118">
        <f t="shared" si="7"/>
        <v>0</v>
      </c>
      <c r="U29" s="119"/>
      <c r="V29" s="120">
        <f>S29+T29-R29</f>
        <v>131121.19149999999</v>
      </c>
      <c r="W29" s="120">
        <f>S29-P29-R29-K29</f>
        <v>129820.99149999999</v>
      </c>
      <c r="X29" s="120">
        <f>S29+T29-R29</f>
        <v>131121.19149999999</v>
      </c>
      <c r="Y29" s="120">
        <v>0</v>
      </c>
      <c r="Z29" s="120">
        <f>S29+T29-R29</f>
        <v>131121.19149999999</v>
      </c>
      <c r="AA29" s="120">
        <f>ROUND((V29*23.8%),0)</f>
        <v>31207</v>
      </c>
      <c r="AB29" s="120">
        <f>ROUND((W29*2.88%),0)</f>
        <v>3739</v>
      </c>
      <c r="AC29" s="120">
        <v>0</v>
      </c>
      <c r="AD29" s="121">
        <f>ROUND((X29-S24)*0.5%,0)</f>
        <v>593</v>
      </c>
      <c r="AE29" s="122">
        <f>ROUND(Y29*1.61%,0)</f>
        <v>0</v>
      </c>
      <c r="AF29" s="117">
        <f>SUM(AA29:AE29)</f>
        <v>35539</v>
      </c>
      <c r="AG29" s="122">
        <f>ROUND((Z29*8.5%),0)</f>
        <v>11145</v>
      </c>
      <c r="AH29" s="121">
        <f>SUM(AH26:AH28)</f>
        <v>3202.74</v>
      </c>
      <c r="AI29" s="121">
        <f>S29-R29+T29-AA30-AB30-AC30</f>
        <v>131121.19149999999</v>
      </c>
      <c r="AJ29" s="121">
        <f>ROUND((S29+T29-R29-AA30-AB30-AC30)*29%,0)</f>
        <v>38025</v>
      </c>
    </row>
    <row r="30" spans="1:36" s="49" customFormat="1" ht="17.25" hidden="1" thickTop="1" thickBot="1">
      <c r="D30" s="115"/>
      <c r="F30" s="116"/>
      <c r="I30" s="600"/>
      <c r="J30" s="130"/>
      <c r="K30" s="600"/>
      <c r="L30" s="130"/>
      <c r="M30" s="130"/>
      <c r="N30" s="130"/>
      <c r="O30" s="130"/>
      <c r="P30" s="130"/>
      <c r="Q30" s="155"/>
      <c r="R30" s="155"/>
      <c r="S30" s="155"/>
      <c r="T30" s="155"/>
      <c r="U30" s="155"/>
      <c r="V30" s="130"/>
      <c r="W30" s="130"/>
      <c r="X30" s="130"/>
      <c r="Y30" s="130"/>
      <c r="Z30" s="130"/>
      <c r="AA30" s="129"/>
      <c r="AB30" s="129"/>
      <c r="AC30" s="129"/>
      <c r="AD30" s="48"/>
      <c r="AE30" s="48"/>
      <c r="AF30" s="129"/>
      <c r="AG30" s="127"/>
      <c r="AH30" s="127"/>
      <c r="AI30" s="127"/>
      <c r="AJ30" s="127"/>
    </row>
    <row r="31" spans="1:36" s="49" customFormat="1" ht="16.5" hidden="1" thickTop="1">
      <c r="D31" s="115"/>
      <c r="F31" s="116"/>
      <c r="I31" s="600"/>
      <c r="J31" s="130"/>
      <c r="K31" s="600"/>
      <c r="L31" s="130"/>
      <c r="M31" s="130"/>
      <c r="N31" s="130"/>
      <c r="O31" s="130"/>
      <c r="P31" s="130"/>
      <c r="Q31" s="155"/>
      <c r="R31" s="155"/>
      <c r="S31" s="155"/>
      <c r="T31" s="155"/>
      <c r="U31" s="155"/>
      <c r="V31" s="130"/>
      <c r="W31" s="130"/>
      <c r="X31" s="130"/>
      <c r="Y31" s="130"/>
      <c r="Z31" s="130"/>
      <c r="AA31" s="126"/>
      <c r="AB31" s="126"/>
      <c r="AC31" s="126"/>
      <c r="AD31" s="48"/>
      <c r="AE31" s="48"/>
      <c r="AF31" s="126"/>
      <c r="AG31" s="127"/>
      <c r="AH31" s="127"/>
      <c r="AI31" s="127"/>
      <c r="AJ31" s="127"/>
    </row>
    <row r="32" spans="1:36" s="49" customFormat="1" ht="15.75" hidden="1">
      <c r="D32" s="115"/>
      <c r="F32" s="116"/>
      <c r="I32" s="598"/>
      <c r="J32" s="123"/>
      <c r="K32" s="598"/>
      <c r="L32" s="123"/>
      <c r="M32" s="123"/>
      <c r="N32" s="123"/>
      <c r="O32" s="123"/>
      <c r="P32" s="123"/>
      <c r="Q32" s="124"/>
      <c r="R32" s="124"/>
      <c r="S32" s="124"/>
      <c r="T32" s="124"/>
      <c r="U32" s="124"/>
      <c r="V32" s="126"/>
      <c r="W32" s="126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</row>
    <row r="33" spans="1:36" ht="15.75" thickTop="1"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</row>
    <row r="34" spans="1:36" s="49" customFormat="1">
      <c r="A34" s="86"/>
      <c r="B34" s="160">
        <v>10</v>
      </c>
      <c r="C34" s="160" t="s">
        <v>109</v>
      </c>
      <c r="D34" s="161"/>
      <c r="E34" s="76" t="s">
        <v>66</v>
      </c>
      <c r="F34" s="162"/>
      <c r="G34" s="76" t="s">
        <v>110</v>
      </c>
      <c r="H34" s="163">
        <v>0</v>
      </c>
      <c r="I34" s="201">
        <f>'CALCOLO VAC. E PEREQ 2020'!S69</f>
        <v>167.44</v>
      </c>
      <c r="J34" s="71">
        <f>1840.51*12</f>
        <v>22086.12</v>
      </c>
      <c r="K34" s="201">
        <f>'CALCOLO VAC. E PEREQ 2020'!AE69</f>
        <v>216</v>
      </c>
      <c r="L34" s="71">
        <v>0</v>
      </c>
      <c r="M34" s="164"/>
      <c r="N34" s="164"/>
      <c r="O34" s="164">
        <v>0</v>
      </c>
      <c r="P34" s="71">
        <f>(45.8*12)</f>
        <v>549.59999999999991</v>
      </c>
      <c r="Q34" s="71">
        <f>ROUND((I34+J34+L34+M34+N34)/12,2)</f>
        <v>1854.46</v>
      </c>
      <c r="R34" s="650">
        <f>72.38*12</f>
        <v>868.56</v>
      </c>
      <c r="S34" s="71">
        <f t="shared" ref="S34:S41" si="8">SUM(I34:R34)</f>
        <v>25742.179999999997</v>
      </c>
      <c r="T34" s="164"/>
      <c r="U34" s="165"/>
      <c r="V34" s="166"/>
      <c r="W34" s="128"/>
      <c r="X34" s="166"/>
      <c r="Y34" s="128"/>
      <c r="Z34" s="166"/>
      <c r="AA34" s="166"/>
      <c r="AB34" s="166"/>
      <c r="AC34" s="166"/>
      <c r="AD34" s="166"/>
      <c r="AE34" s="166"/>
      <c r="AF34" s="166"/>
      <c r="AG34" s="166"/>
      <c r="AH34" s="128"/>
      <c r="AI34" s="166"/>
      <c r="AJ34" s="166"/>
    </row>
    <row r="35" spans="1:36" s="102" customFormat="1">
      <c r="A35" s="652"/>
      <c r="B35" s="223">
        <v>11</v>
      </c>
      <c r="C35" s="223" t="s">
        <v>111</v>
      </c>
      <c r="D35" s="167"/>
      <c r="E35" s="168" t="s">
        <v>66</v>
      </c>
      <c r="F35" s="169"/>
      <c r="G35" s="168" t="s">
        <v>112</v>
      </c>
      <c r="H35" s="170">
        <v>0</v>
      </c>
      <c r="I35" s="171">
        <f>'CALCOLO VAC. E PEREQ 2020'!S91</f>
        <v>176.15</v>
      </c>
      <c r="J35" s="171">
        <f>1935*12</f>
        <v>23220</v>
      </c>
      <c r="K35" s="171">
        <f>'CALCOLO VAC. E PEREQ 2020'!AE91</f>
        <v>192</v>
      </c>
      <c r="L35" s="171">
        <v>0</v>
      </c>
      <c r="M35" s="171"/>
      <c r="N35" s="171">
        <f>993.19*12</f>
        <v>11918.28</v>
      </c>
      <c r="O35" s="171">
        <v>2582.29</v>
      </c>
      <c r="P35" s="171">
        <f>(51.9*12)</f>
        <v>622.79999999999995</v>
      </c>
      <c r="Q35" s="71">
        <f t="shared" ref="Q35:Q41" si="9">ROUND((I35+J35+L35+M35+N35)/12,2)</f>
        <v>2942.87</v>
      </c>
      <c r="R35" s="171"/>
      <c r="S35" s="171">
        <f t="shared" si="8"/>
        <v>41654.390000000007</v>
      </c>
      <c r="T35" s="171"/>
      <c r="U35" s="101"/>
      <c r="V35" s="172"/>
      <c r="W35" s="173"/>
      <c r="X35" s="172"/>
      <c r="Y35" s="173"/>
      <c r="Z35" s="172"/>
      <c r="AA35" s="172"/>
      <c r="AB35" s="172"/>
      <c r="AC35" s="172"/>
      <c r="AD35" s="172"/>
      <c r="AE35" s="172"/>
      <c r="AF35" s="172"/>
      <c r="AG35" s="172"/>
      <c r="AH35" s="174">
        <f>237.65*4</f>
        <v>950.6</v>
      </c>
      <c r="AI35" s="172"/>
      <c r="AJ35" s="172"/>
    </row>
    <row r="36" spans="1:36" s="78" customFormat="1" ht="33.75" customHeight="1" thickBot="1">
      <c r="A36" s="652"/>
      <c r="B36" s="366">
        <v>12</v>
      </c>
      <c r="C36" s="379" t="s">
        <v>214</v>
      </c>
      <c r="D36" s="367"/>
      <c r="E36" s="368" t="s">
        <v>66</v>
      </c>
      <c r="F36" s="369"/>
      <c r="G36" s="368" t="s">
        <v>2</v>
      </c>
      <c r="H36" s="370">
        <v>0</v>
      </c>
      <c r="I36" s="371">
        <f>I28</f>
        <v>154.31</v>
      </c>
      <c r="J36" s="380">
        <f>1695.34*12</f>
        <v>20344.079999999998</v>
      </c>
      <c r="K36" s="371">
        <f>K28</f>
        <v>276</v>
      </c>
      <c r="L36" s="371"/>
      <c r="M36" s="371"/>
      <c r="N36" s="371"/>
      <c r="O36" s="371"/>
      <c r="P36" s="371">
        <f>(45.8*12)</f>
        <v>549.59999999999991</v>
      </c>
      <c r="Q36" s="371">
        <f t="shared" si="9"/>
        <v>1708.2</v>
      </c>
      <c r="R36" s="371"/>
      <c r="S36" s="371">
        <f>SUM(I36:R36)</f>
        <v>23032.19</v>
      </c>
      <c r="T36" s="82"/>
      <c r="U36" s="83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82"/>
      <c r="AI36" s="175"/>
      <c r="AJ36" s="175"/>
    </row>
    <row r="37" spans="1:36" s="102" customFormat="1" ht="30.75" thickTop="1">
      <c r="A37" s="652"/>
      <c r="B37" s="223">
        <v>13</v>
      </c>
      <c r="C37" s="224" t="s">
        <v>215</v>
      </c>
      <c r="D37" s="176"/>
      <c r="E37" s="97" t="s">
        <v>66</v>
      </c>
      <c r="F37" s="98"/>
      <c r="G37" s="97" t="s">
        <v>99</v>
      </c>
      <c r="H37" s="99">
        <v>0</v>
      </c>
      <c r="I37" s="100">
        <f>'CALCOLO VAC. E PEREQ 2020'!S79</f>
        <v>130.26</v>
      </c>
      <c r="J37" s="100">
        <f>(1908.6*12)*75%</f>
        <v>17177.399999999998</v>
      </c>
      <c r="K37" s="100">
        <f>'CALCOLO VAC. E PEREQ 2020'!AE79</f>
        <v>153</v>
      </c>
      <c r="L37" s="100">
        <v>0</v>
      </c>
      <c r="M37" s="100"/>
      <c r="N37" s="100"/>
      <c r="O37" s="100">
        <v>0</v>
      </c>
      <c r="P37" s="100">
        <f>(45.8*12)*75%</f>
        <v>412.19999999999993</v>
      </c>
      <c r="Q37" s="71">
        <f t="shared" si="9"/>
        <v>1442.31</v>
      </c>
      <c r="R37" s="100">
        <f>71.78*12</f>
        <v>861.36</v>
      </c>
      <c r="S37" s="100">
        <f t="shared" si="8"/>
        <v>20176.53</v>
      </c>
      <c r="T37" s="177"/>
      <c r="U37" s="172"/>
      <c r="V37" s="172"/>
      <c r="W37" s="172"/>
      <c r="X37" s="172"/>
      <c r="Y37" s="172"/>
      <c r="Z37" s="173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</row>
    <row r="38" spans="1:36" s="49" customFormat="1">
      <c r="A38" s="653" t="s">
        <v>490</v>
      </c>
      <c r="B38" s="160">
        <v>14</v>
      </c>
      <c r="C38" s="160" t="s">
        <v>113</v>
      </c>
      <c r="D38" s="88"/>
      <c r="E38" s="89" t="s">
        <v>66</v>
      </c>
      <c r="F38" s="90"/>
      <c r="G38" s="89" t="s">
        <v>557</v>
      </c>
      <c r="H38" s="68">
        <v>0</v>
      </c>
      <c r="I38" s="100">
        <f>'CALCOLO VAC. E PEREQ 2020'!S85</f>
        <v>178.49</v>
      </c>
      <c r="J38" s="69">
        <f>1961.93*12</f>
        <v>23543.16</v>
      </c>
      <c r="K38" s="100">
        <f>'CALCOLO VAC. E PEREQ 2020'!AE85</f>
        <v>0</v>
      </c>
      <c r="L38" s="69">
        <v>0</v>
      </c>
      <c r="M38" s="69"/>
      <c r="N38" s="69"/>
      <c r="O38" s="69">
        <v>0</v>
      </c>
      <c r="P38" s="69">
        <f>45.8*12</f>
        <v>549.59999999999991</v>
      </c>
      <c r="Q38" s="71">
        <f t="shared" si="9"/>
        <v>1976.8</v>
      </c>
      <c r="R38" s="100">
        <f>(42.29*12)</f>
        <v>507.48</v>
      </c>
      <c r="S38" s="71">
        <f>SUM(I38:R38)</f>
        <v>26755.53</v>
      </c>
      <c r="T38" s="92"/>
      <c r="U38" s="77"/>
      <c r="V38" s="166"/>
      <c r="W38" s="166"/>
      <c r="X38" s="166"/>
      <c r="Y38" s="166"/>
      <c r="Z38" s="128"/>
      <c r="AA38" s="166"/>
      <c r="AB38" s="166"/>
      <c r="AC38" s="166"/>
      <c r="AD38" s="166"/>
      <c r="AE38" s="166"/>
      <c r="AF38" s="166"/>
      <c r="AG38" s="128"/>
      <c r="AH38" s="166"/>
      <c r="AI38" s="128"/>
      <c r="AJ38" s="166"/>
    </row>
    <row r="39" spans="1:36" s="49" customFormat="1">
      <c r="A39" s="654"/>
      <c r="B39" s="64">
        <v>15</v>
      </c>
      <c r="C39" s="64" t="s">
        <v>115</v>
      </c>
      <c r="D39" s="75"/>
      <c r="E39" s="66" t="s">
        <v>66</v>
      </c>
      <c r="F39" s="67"/>
      <c r="G39" s="76" t="s">
        <v>116</v>
      </c>
      <c r="H39" s="68">
        <v>0</v>
      </c>
      <c r="I39" s="201">
        <f>'CALCOLO VAC. E PEREQ 2020'!S40</f>
        <v>157.69</v>
      </c>
      <c r="J39" s="70">
        <f>1732.35*12</f>
        <v>20788.199999999997</v>
      </c>
      <c r="K39" s="201">
        <f>'CALCOLO VAC. E PEREQ 2020'!AE40</f>
        <v>264</v>
      </c>
      <c r="L39" s="70">
        <f>(3.83*12)</f>
        <v>45.96</v>
      </c>
      <c r="M39" s="70">
        <f>(4.61*12)</f>
        <v>55.320000000000007</v>
      </c>
      <c r="N39" s="70"/>
      <c r="O39" s="70">
        <v>0</v>
      </c>
      <c r="P39" s="70">
        <f>(39.31*12)</f>
        <v>471.72</v>
      </c>
      <c r="Q39" s="71">
        <f t="shared" si="9"/>
        <v>1753.93</v>
      </c>
      <c r="R39" s="201"/>
      <c r="S39" s="71">
        <f t="shared" si="8"/>
        <v>23536.819999999996</v>
      </c>
      <c r="T39" s="71">
        <v>0</v>
      </c>
      <c r="U39" s="77"/>
      <c r="V39" s="166"/>
      <c r="W39" s="166"/>
      <c r="X39" s="166"/>
      <c r="Y39" s="166"/>
      <c r="Z39" s="128"/>
      <c r="AA39" s="166"/>
      <c r="AB39" s="166"/>
      <c r="AC39" s="166"/>
      <c r="AD39" s="166"/>
      <c r="AE39" s="166"/>
      <c r="AF39" s="166"/>
      <c r="AG39" s="128"/>
      <c r="AH39" s="166"/>
      <c r="AI39" s="128"/>
      <c r="AJ39" s="166"/>
    </row>
    <row r="40" spans="1:36" s="49" customFormat="1">
      <c r="A40" s="654"/>
      <c r="B40" s="64"/>
      <c r="C40" s="856"/>
      <c r="D40" s="880"/>
      <c r="E40" s="881"/>
      <c r="F40" s="86"/>
      <c r="G40" s="346"/>
      <c r="H40" s="882"/>
      <c r="I40" s="171"/>
      <c r="J40" s="73"/>
      <c r="K40" s="171"/>
      <c r="L40" s="73"/>
      <c r="M40" s="73"/>
      <c r="N40" s="73"/>
      <c r="O40" s="73"/>
      <c r="P40" s="73"/>
      <c r="Q40" s="71">
        <f>ROUND((I40+J40+L40+M40+N40)/8,2)</f>
        <v>0</v>
      </c>
      <c r="R40" s="171"/>
      <c r="S40" s="71">
        <f t="shared" si="8"/>
        <v>0</v>
      </c>
      <c r="T40" s="72"/>
      <c r="U40" s="77"/>
      <c r="V40" s="166"/>
      <c r="W40" s="166"/>
      <c r="X40" s="166"/>
      <c r="Y40" s="166"/>
      <c r="Z40" s="128"/>
      <c r="AA40" s="166"/>
      <c r="AB40" s="166"/>
      <c r="AC40" s="166"/>
      <c r="AD40" s="166"/>
      <c r="AE40" s="166"/>
      <c r="AF40" s="166"/>
      <c r="AG40" s="128"/>
      <c r="AH40" s="166"/>
      <c r="AI40" s="128"/>
      <c r="AJ40" s="166"/>
    </row>
    <row r="41" spans="1:36" s="49" customFormat="1" ht="15" customHeight="1" thickBot="1">
      <c r="A41" s="315"/>
      <c r="B41" s="366">
        <v>16</v>
      </c>
      <c r="C41" s="366" t="s">
        <v>117</v>
      </c>
      <c r="D41" s="381"/>
      <c r="E41" s="382" t="s">
        <v>66</v>
      </c>
      <c r="F41" s="383"/>
      <c r="G41" s="384" t="s">
        <v>118</v>
      </c>
      <c r="H41" s="385">
        <v>0</v>
      </c>
      <c r="I41" s="380">
        <v>123.6</v>
      </c>
      <c r="J41" s="380">
        <f>1471.38*12</f>
        <v>17656.560000000001</v>
      </c>
      <c r="K41" s="380">
        <v>336</v>
      </c>
      <c r="L41" s="380">
        <v>0</v>
      </c>
      <c r="M41" s="380"/>
      <c r="N41" s="380"/>
      <c r="O41" s="380">
        <f>5.38*12</f>
        <v>64.56</v>
      </c>
      <c r="P41" s="380">
        <f>(32.4*12)</f>
        <v>388.79999999999995</v>
      </c>
      <c r="Q41" s="371">
        <f t="shared" si="9"/>
        <v>1481.68</v>
      </c>
      <c r="R41" s="380"/>
      <c r="S41" s="380">
        <f t="shared" si="8"/>
        <v>20051.2</v>
      </c>
      <c r="T41" s="380"/>
      <c r="U41" s="180"/>
      <c r="V41" s="181"/>
      <c r="W41" s="181"/>
      <c r="X41" s="181"/>
      <c r="Y41" s="181"/>
      <c r="Z41" s="182"/>
      <c r="AA41" s="181"/>
      <c r="AB41" s="181"/>
      <c r="AC41" s="181"/>
      <c r="AD41" s="181"/>
      <c r="AE41" s="181"/>
      <c r="AF41" s="181"/>
      <c r="AG41" s="182"/>
      <c r="AH41" s="181"/>
      <c r="AI41" s="182"/>
      <c r="AJ41" s="181"/>
    </row>
    <row r="42" spans="1:36" s="49" customFormat="1" ht="17.25" thickTop="1" thickBot="1">
      <c r="D42" s="115"/>
      <c r="F42" s="116"/>
      <c r="H42" s="120">
        <f>SUM(H33:H41)</f>
        <v>0</v>
      </c>
      <c r="I42" s="570">
        <f t="shared" ref="I42:R42" si="10">SUM(I34:I41)</f>
        <v>1087.94</v>
      </c>
      <c r="J42" s="119">
        <f t="shared" si="10"/>
        <v>144815.51999999999</v>
      </c>
      <c r="K42" s="570">
        <f t="shared" si="10"/>
        <v>1437</v>
      </c>
      <c r="L42" s="119">
        <f t="shared" si="10"/>
        <v>45.96</v>
      </c>
      <c r="M42" s="119">
        <f t="shared" si="10"/>
        <v>55.320000000000007</v>
      </c>
      <c r="N42" s="119">
        <f t="shared" si="10"/>
        <v>11918.28</v>
      </c>
      <c r="O42" s="119">
        <f t="shared" si="10"/>
        <v>2646.85</v>
      </c>
      <c r="P42" s="119">
        <f t="shared" si="10"/>
        <v>3544.3199999999997</v>
      </c>
      <c r="Q42" s="119">
        <f>SUM(Q34:Q41)</f>
        <v>13160.25</v>
      </c>
      <c r="R42" s="119">
        <f t="shared" si="10"/>
        <v>2237.4</v>
      </c>
      <c r="S42" s="119">
        <f>SUM(S34:S41)</f>
        <v>180948.84000000003</v>
      </c>
      <c r="T42" s="119">
        <f>SUM(T33:T41)</f>
        <v>0</v>
      </c>
      <c r="U42" s="119"/>
      <c r="V42" s="120">
        <f>S42+T42-R42</f>
        <v>178711.44000000003</v>
      </c>
      <c r="W42" s="120">
        <f>S42-P42-R42-K42</f>
        <v>173730.12000000002</v>
      </c>
      <c r="X42" s="120">
        <f>S42+T42-R42</f>
        <v>178711.44000000003</v>
      </c>
      <c r="Y42" s="120">
        <v>0</v>
      </c>
      <c r="Z42" s="120">
        <f>S42+T42-R42</f>
        <v>178711.44000000003</v>
      </c>
      <c r="AA42" s="120">
        <f>ROUND((V42*23.8%),0)</f>
        <v>42533</v>
      </c>
      <c r="AB42" s="120">
        <f>ROUND((W42*2.88%),0)</f>
        <v>5003</v>
      </c>
      <c r="AC42" s="120">
        <v>0</v>
      </c>
      <c r="AD42" s="122">
        <f>ROUND((X42*0.5%),0)</f>
        <v>894</v>
      </c>
      <c r="AE42" s="122">
        <f>ROUND(Y42*1.61%,0)</f>
        <v>0</v>
      </c>
      <c r="AF42" s="120">
        <f>SUM(AA42:AE42)</f>
        <v>48430</v>
      </c>
      <c r="AG42" s="121">
        <f>ROUND((V42*8.5%),0)</f>
        <v>15190</v>
      </c>
      <c r="AH42" s="122">
        <f>SUM(AH33:AH41)</f>
        <v>950.6</v>
      </c>
      <c r="AI42" s="121">
        <f>S42-R42+T42-AA43-AB43-AC43</f>
        <v>178711.44000000003</v>
      </c>
      <c r="AJ42" s="121">
        <f>ROUND((S42+T42-R42-AA43-AB43-AC43)*29%,0)</f>
        <v>51826</v>
      </c>
    </row>
    <row r="43" spans="1:36" s="49" customFormat="1" ht="17.25" thickTop="1" thickBot="1">
      <c r="D43" s="115"/>
      <c r="F43" s="116"/>
      <c r="I43" s="602"/>
      <c r="J43" s="126"/>
      <c r="K43" s="602"/>
      <c r="L43" s="126"/>
      <c r="M43" s="126"/>
      <c r="N43" s="126"/>
      <c r="O43" s="126"/>
      <c r="P43" s="126"/>
      <c r="Q43" s="125"/>
      <c r="R43" s="125"/>
      <c r="S43" s="125"/>
      <c r="T43" s="125"/>
      <c r="U43" s="125"/>
      <c r="V43" s="126"/>
      <c r="W43" s="126"/>
      <c r="X43" s="126"/>
      <c r="Y43" s="126"/>
      <c r="Z43" s="183"/>
      <c r="AA43" s="129"/>
      <c r="AB43" s="129"/>
      <c r="AC43" s="129"/>
      <c r="AD43" s="130"/>
      <c r="AE43" s="48"/>
      <c r="AF43" s="129"/>
      <c r="AG43" s="130"/>
      <c r="AH43" s="130"/>
      <c r="AI43" s="126"/>
      <c r="AJ43" s="126"/>
    </row>
    <row r="44" spans="1:36" s="49" customFormat="1" ht="16.5" hidden="1" thickTop="1">
      <c r="D44" s="115"/>
      <c r="F44" s="116"/>
      <c r="I44" s="602"/>
      <c r="J44" s="126"/>
      <c r="K44" s="602"/>
      <c r="L44" s="126"/>
      <c r="M44" s="126"/>
      <c r="N44" s="126"/>
      <c r="O44" s="126"/>
      <c r="P44" s="126"/>
      <c r="Q44" s="125"/>
      <c r="R44" s="125"/>
      <c r="S44" s="125"/>
      <c r="T44" s="125"/>
      <c r="U44" s="125"/>
      <c r="V44" s="126"/>
      <c r="W44" s="126"/>
      <c r="X44" s="126"/>
      <c r="Y44" s="126"/>
      <c r="Z44" s="126"/>
      <c r="AA44" s="130"/>
      <c r="AB44" s="130"/>
      <c r="AC44" s="130"/>
      <c r="AD44" s="130"/>
      <c r="AE44" s="48"/>
      <c r="AF44" s="130"/>
      <c r="AG44" s="130"/>
      <c r="AH44" s="130"/>
      <c r="AI44" s="126"/>
      <c r="AJ44" s="126"/>
    </row>
    <row r="45" spans="1:36" s="49" customFormat="1" ht="15.75" hidden="1">
      <c r="D45" s="115"/>
      <c r="F45" s="116"/>
      <c r="I45" s="602"/>
      <c r="J45" s="126"/>
      <c r="K45" s="602"/>
      <c r="L45" s="126"/>
      <c r="M45" s="126"/>
      <c r="N45" s="126"/>
      <c r="O45" s="126"/>
      <c r="P45" s="126"/>
      <c r="Q45" s="125"/>
      <c r="R45" s="125"/>
      <c r="S45" s="125"/>
      <c r="T45" s="125"/>
      <c r="U45" s="125"/>
      <c r="V45" s="126"/>
      <c r="W45" s="126"/>
      <c r="X45" s="126"/>
      <c r="Y45" s="126"/>
      <c r="Z45" s="126"/>
      <c r="AA45" s="130"/>
      <c r="AB45" s="130"/>
      <c r="AC45" s="130"/>
      <c r="AD45" s="130"/>
      <c r="AE45" s="48"/>
      <c r="AF45" s="130"/>
      <c r="AG45" s="130"/>
      <c r="AH45" s="130"/>
      <c r="AI45" s="126"/>
      <c r="AJ45" s="126"/>
    </row>
    <row r="46" spans="1:36" s="49" customFormat="1" ht="16.5" hidden="1" thickBot="1">
      <c r="B46" s="103"/>
      <c r="C46" s="103" t="s">
        <v>119</v>
      </c>
      <c r="D46" s="184" t="s">
        <v>120</v>
      </c>
      <c r="E46" s="185"/>
      <c r="F46" s="179" t="s">
        <v>108</v>
      </c>
      <c r="G46" s="185"/>
      <c r="H46" s="137"/>
      <c r="I46" s="199"/>
      <c r="J46" s="138"/>
      <c r="K46" s="199">
        <v>0</v>
      </c>
      <c r="L46" s="138"/>
      <c r="M46" s="138"/>
      <c r="N46" s="138"/>
      <c r="O46" s="138">
        <v>0</v>
      </c>
      <c r="P46" s="138"/>
      <c r="Q46" s="139">
        <f>ROUND((J46+K46+L46+M46+N46)/12,2)</f>
        <v>0</v>
      </c>
      <c r="R46" s="139"/>
      <c r="S46" s="139">
        <f>SUM(J46:R46)</f>
        <v>0</v>
      </c>
      <c r="T46" s="139"/>
      <c r="U46" s="139"/>
      <c r="V46" s="141"/>
      <c r="W46" s="141"/>
      <c r="X46" s="141"/>
      <c r="Y46" s="141"/>
      <c r="Z46" s="141"/>
      <c r="AA46" s="129"/>
      <c r="AB46" s="129"/>
      <c r="AC46" s="129"/>
      <c r="AD46" s="129"/>
      <c r="AE46" s="142"/>
      <c r="AF46" s="129"/>
      <c r="AG46" s="129"/>
      <c r="AH46" s="129"/>
      <c r="AI46" s="141"/>
      <c r="AJ46" s="186"/>
    </row>
    <row r="47" spans="1:36" s="49" customFormat="1" ht="17.25" hidden="1" thickTop="1" thickBot="1">
      <c r="D47" s="115"/>
      <c r="E47" s="418"/>
      <c r="F47" s="116"/>
      <c r="G47" s="418"/>
      <c r="H47" s="120">
        <f t="shared" ref="H47:T47" si="11">SUM(H46:H46)</f>
        <v>0</v>
      </c>
      <c r="I47" s="570">
        <f t="shared" si="11"/>
        <v>0</v>
      </c>
      <c r="J47" s="120">
        <f t="shared" si="11"/>
        <v>0</v>
      </c>
      <c r="K47" s="570">
        <f t="shared" si="11"/>
        <v>0</v>
      </c>
      <c r="L47" s="120">
        <f t="shared" si="11"/>
        <v>0</v>
      </c>
      <c r="M47" s="120">
        <f t="shared" si="11"/>
        <v>0</v>
      </c>
      <c r="N47" s="120">
        <f t="shared" si="11"/>
        <v>0</v>
      </c>
      <c r="O47" s="120">
        <f t="shared" si="11"/>
        <v>0</v>
      </c>
      <c r="P47" s="120">
        <f t="shared" si="11"/>
        <v>0</v>
      </c>
      <c r="Q47" s="119">
        <f t="shared" si="11"/>
        <v>0</v>
      </c>
      <c r="R47" s="119">
        <f t="shared" si="11"/>
        <v>0</v>
      </c>
      <c r="S47" s="119">
        <f t="shared" si="11"/>
        <v>0</v>
      </c>
      <c r="T47" s="119">
        <f t="shared" si="11"/>
        <v>0</v>
      </c>
      <c r="U47" s="119"/>
      <c r="V47" s="120">
        <f>S47+T47-R47</f>
        <v>0</v>
      </c>
      <c r="W47" s="120">
        <f>S47-P47-R47</f>
        <v>0</v>
      </c>
      <c r="X47" s="120">
        <f>S47+T47-R47</f>
        <v>0</v>
      </c>
      <c r="Y47" s="120">
        <v>0</v>
      </c>
      <c r="Z47" s="120">
        <f>S47+T47-R47</f>
        <v>0</v>
      </c>
      <c r="AA47" s="120">
        <f>ROUND((V47*23.8%),0)</f>
        <v>0</v>
      </c>
      <c r="AB47" s="120">
        <f>ROUND((W47*2.88%),0)</f>
        <v>0</v>
      </c>
      <c r="AC47" s="120">
        <v>0</v>
      </c>
      <c r="AD47" s="122">
        <f>ROUND((X47*0.5%),0)</f>
        <v>0</v>
      </c>
      <c r="AE47" s="122">
        <f>ROUND(Y47*1.61%,0)</f>
        <v>0</v>
      </c>
      <c r="AF47" s="120">
        <f>SUM(AA47:AE47)</f>
        <v>0</v>
      </c>
      <c r="AG47" s="121">
        <f>ROUND((V47*8.5%),0)</f>
        <v>0</v>
      </c>
      <c r="AH47" s="122">
        <f>SUM(AH46:AH46)</f>
        <v>0</v>
      </c>
      <c r="AI47" s="121">
        <f>S47-R47+T47-AA48-AB48-AC48</f>
        <v>0</v>
      </c>
      <c r="AJ47" s="121">
        <f>ROUND((S47+T47-R47-AA48-AB48-AC48)*29%,0)</f>
        <v>0</v>
      </c>
    </row>
    <row r="48" spans="1:36" s="49" customFormat="1" ht="17.25" hidden="1" thickTop="1" thickBot="1">
      <c r="D48" s="115"/>
      <c r="E48" s="418"/>
      <c r="F48" s="116"/>
      <c r="G48" s="418"/>
      <c r="H48" s="187"/>
      <c r="I48" s="603"/>
      <c r="J48" s="131"/>
      <c r="K48" s="603"/>
      <c r="L48" s="131"/>
      <c r="M48" s="131"/>
      <c r="N48" s="131"/>
      <c r="O48" s="131"/>
      <c r="P48" s="131"/>
      <c r="Q48" s="188"/>
      <c r="R48" s="188"/>
      <c r="S48" s="188"/>
      <c r="T48" s="188"/>
      <c r="U48" s="188"/>
      <c r="V48" s="126"/>
      <c r="W48" s="126"/>
      <c r="X48" s="126"/>
      <c r="Y48" s="126"/>
      <c r="Z48" s="183"/>
      <c r="AA48" s="129"/>
      <c r="AB48" s="129"/>
      <c r="AC48" s="129"/>
      <c r="AD48" s="130"/>
      <c r="AE48" s="48"/>
      <c r="AF48" s="129"/>
      <c r="AG48" s="130"/>
      <c r="AH48" s="130"/>
      <c r="AI48" s="126"/>
      <c r="AJ48" s="126"/>
    </row>
    <row r="49" spans="1:36" s="49" customFormat="1" ht="16.5" hidden="1" thickTop="1">
      <c r="D49" s="115"/>
      <c r="F49" s="116"/>
      <c r="I49" s="602"/>
      <c r="J49" s="126"/>
      <c r="K49" s="602"/>
      <c r="L49" s="126"/>
      <c r="M49" s="126"/>
      <c r="N49" s="126"/>
      <c r="O49" s="126"/>
      <c r="P49" s="126"/>
      <c r="Q49" s="125"/>
      <c r="R49" s="125"/>
      <c r="S49" s="125"/>
      <c r="T49" s="125"/>
      <c r="U49" s="125"/>
      <c r="V49" s="126"/>
      <c r="W49" s="126"/>
      <c r="X49" s="126"/>
      <c r="Y49" s="126"/>
      <c r="Z49" s="126"/>
      <c r="AA49" s="126"/>
      <c r="AB49" s="126"/>
      <c r="AC49" s="126"/>
      <c r="AD49" s="48"/>
      <c r="AE49" s="48"/>
      <c r="AF49" s="126"/>
      <c r="AG49" s="127"/>
      <c r="AH49" s="126"/>
      <c r="AI49" s="126"/>
      <c r="AJ49" s="126"/>
    </row>
    <row r="50" spans="1:36" s="49" customFormat="1" ht="15.75" hidden="1">
      <c r="D50" s="115"/>
      <c r="F50" s="116"/>
      <c r="I50" s="601"/>
      <c r="J50" s="127"/>
      <c r="K50" s="601"/>
      <c r="L50" s="146"/>
      <c r="M50" s="146"/>
      <c r="N50" s="146"/>
      <c r="O50" s="146"/>
      <c r="P50" s="146"/>
      <c r="Q50" s="145"/>
      <c r="R50" s="145"/>
      <c r="S50" s="145"/>
      <c r="T50" s="145"/>
      <c r="U50" s="145"/>
      <c r="V50" s="159"/>
      <c r="W50" s="127"/>
      <c r="X50" s="127"/>
      <c r="Y50" s="127"/>
      <c r="Z50" s="127"/>
      <c r="AA50" s="130"/>
      <c r="AB50" s="130"/>
      <c r="AC50" s="130"/>
      <c r="AD50" s="130"/>
      <c r="AE50" s="48"/>
      <c r="AF50" s="130"/>
      <c r="AG50" s="130"/>
      <c r="AH50" s="130"/>
      <c r="AI50" s="127"/>
      <c r="AJ50" s="127"/>
    </row>
    <row r="51" spans="1:36" s="191" customFormat="1" ht="15.75" thickTop="1">
      <c r="A51" s="655"/>
      <c r="B51" s="64">
        <v>17</v>
      </c>
      <c r="C51" s="64" t="s">
        <v>122</v>
      </c>
      <c r="D51" s="189"/>
      <c r="E51" s="66" t="s">
        <v>66</v>
      </c>
      <c r="F51" s="67"/>
      <c r="G51" s="76" t="s">
        <v>101</v>
      </c>
      <c r="H51" s="68">
        <v>0</v>
      </c>
      <c r="I51" s="201">
        <f>'CALCOLO VAC. E PEREQ 2020'!S32</f>
        <v>151.84</v>
      </c>
      <c r="J51" s="70">
        <f>1668.26*12</f>
        <v>20019.12</v>
      </c>
      <c r="K51" s="201">
        <f>'CALCOLO VAC. E PEREQ 2020'!AE32</f>
        <v>276</v>
      </c>
      <c r="L51" s="70">
        <v>0</v>
      </c>
      <c r="M51" s="71">
        <f>4.61*12</f>
        <v>55.320000000000007</v>
      </c>
      <c r="N51" s="70"/>
      <c r="O51" s="70">
        <v>0</v>
      </c>
      <c r="P51" s="70">
        <f>39.31*12</f>
        <v>471.72</v>
      </c>
      <c r="Q51" s="71">
        <f>ROUND((I51+J51+L51+M51+N51)/12,2)</f>
        <v>1685.52</v>
      </c>
      <c r="R51" s="71"/>
      <c r="S51" s="71">
        <f>SUM(I51:R51)</f>
        <v>22659.52</v>
      </c>
      <c r="T51" s="71"/>
      <c r="U51" s="77"/>
      <c r="V51" s="165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 t="s">
        <v>96</v>
      </c>
      <c r="AJ51" s="190" t="s">
        <v>96</v>
      </c>
    </row>
    <row r="52" spans="1:36" s="191" customFormat="1">
      <c r="A52" s="656" t="s">
        <v>491</v>
      </c>
      <c r="B52" s="160">
        <v>18</v>
      </c>
      <c r="C52" s="160" t="s">
        <v>123</v>
      </c>
      <c r="D52" s="161"/>
      <c r="E52" s="76" t="s">
        <v>66</v>
      </c>
      <c r="F52" s="162"/>
      <c r="G52" s="76" t="s">
        <v>101</v>
      </c>
      <c r="H52" s="68">
        <v>0</v>
      </c>
      <c r="I52" s="201">
        <f>'CALCOLO VAC. E PEREQ 2020'!S36</f>
        <v>151.84</v>
      </c>
      <c r="J52" s="70">
        <f>1668.26*12</f>
        <v>20019.12</v>
      </c>
      <c r="K52" s="201">
        <f>'CALCOLO VAC. E PEREQ 2020'!AE36</f>
        <v>276</v>
      </c>
      <c r="L52" s="71">
        <f>(3.15+34.47)*12</f>
        <v>451.43999999999994</v>
      </c>
      <c r="M52" s="71">
        <f>4.61*12</f>
        <v>55.320000000000007</v>
      </c>
      <c r="N52" s="164"/>
      <c r="O52" s="164">
        <v>0</v>
      </c>
      <c r="P52" s="71">
        <f>(39.31*12)</f>
        <v>471.72</v>
      </c>
      <c r="Q52" s="71">
        <f t="shared" ref="Q52:Q54" si="12">ROUND((I52+J52+L52+M52+N52)/12,2)</f>
        <v>1723.14</v>
      </c>
      <c r="R52" s="164"/>
      <c r="S52" s="71">
        <f>SUM(I52:R52)</f>
        <v>23148.579999999998</v>
      </c>
      <c r="T52" s="164"/>
      <c r="U52" s="165"/>
      <c r="V52" s="165"/>
      <c r="W52" s="165"/>
      <c r="X52" s="165"/>
      <c r="Y52" s="165"/>
      <c r="Z52" s="165"/>
      <c r="AA52" s="165"/>
      <c r="AB52" s="165"/>
      <c r="AC52" s="192"/>
      <c r="AD52" s="165"/>
      <c r="AE52" s="192"/>
      <c r="AF52" s="165"/>
      <c r="AG52" s="165"/>
      <c r="AH52" s="165"/>
      <c r="AI52" s="192" t="s">
        <v>96</v>
      </c>
      <c r="AJ52" s="165" t="s">
        <v>96</v>
      </c>
    </row>
    <row r="53" spans="1:36" s="191" customFormat="1">
      <c r="A53" s="657"/>
      <c r="B53" s="160">
        <v>19</v>
      </c>
      <c r="C53" s="160" t="s">
        <v>124</v>
      </c>
      <c r="D53" s="193"/>
      <c r="E53" s="76" t="s">
        <v>66</v>
      </c>
      <c r="F53" s="162"/>
      <c r="G53" s="76" t="s">
        <v>116</v>
      </c>
      <c r="H53" s="68">
        <v>0</v>
      </c>
      <c r="I53" s="201">
        <f>'CALCOLO VAC. E PEREQ 2020'!S39</f>
        <v>157.69</v>
      </c>
      <c r="J53" s="70">
        <f>1732.35*12</f>
        <v>20788.199999999997</v>
      </c>
      <c r="K53" s="201">
        <f>'CALCOLO VAC. E PEREQ 2020'!AE39</f>
        <v>264</v>
      </c>
      <c r="L53" s="71">
        <v>0</v>
      </c>
      <c r="M53" s="71">
        <f>4.61*12</f>
        <v>55.320000000000007</v>
      </c>
      <c r="N53" s="71"/>
      <c r="O53" s="71">
        <v>0</v>
      </c>
      <c r="P53" s="71">
        <f>(39.31*12)</f>
        <v>471.72</v>
      </c>
      <c r="Q53" s="71">
        <f t="shared" si="12"/>
        <v>1750.1</v>
      </c>
      <c r="R53" s="71"/>
      <c r="S53" s="71">
        <f>SUM(I53:R53)</f>
        <v>23487.029999999995</v>
      </c>
      <c r="T53" s="164"/>
      <c r="U53" s="165"/>
      <c r="V53" s="165"/>
      <c r="W53" s="192"/>
      <c r="X53" s="165"/>
      <c r="Y53" s="192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</row>
    <row r="54" spans="1:36" s="102" customFormat="1" ht="15.75" thickBot="1">
      <c r="A54" s="658"/>
      <c r="B54" s="194">
        <v>20</v>
      </c>
      <c r="C54" s="194" t="s">
        <v>125</v>
      </c>
      <c r="D54" s="195"/>
      <c r="E54" s="196" t="s">
        <v>66</v>
      </c>
      <c r="F54" s="197"/>
      <c r="G54" s="196" t="s">
        <v>220</v>
      </c>
      <c r="H54" s="198">
        <v>0</v>
      </c>
      <c r="I54" s="199">
        <f>'CALCOLO VAC. E PEREQ 2020'!S104</f>
        <v>210.21000000000004</v>
      </c>
      <c r="J54" s="199">
        <f>2310.31*12</f>
        <v>27723.72</v>
      </c>
      <c r="K54" s="199">
        <f>'CALCOLO VAC. E PEREQ 2020'!AE104</f>
        <v>24</v>
      </c>
      <c r="L54" s="199">
        <f>16.23*12</f>
        <v>194.76</v>
      </c>
      <c r="M54" s="200"/>
      <c r="N54" s="200"/>
      <c r="O54" s="200">
        <v>0</v>
      </c>
      <c r="P54" s="199">
        <f>(51.9*12)</f>
        <v>622.79999999999995</v>
      </c>
      <c r="Q54" s="71">
        <f t="shared" si="12"/>
        <v>2344.06</v>
      </c>
      <c r="R54" s="200"/>
      <c r="S54" s="201">
        <f>SUM(I54:R54)</f>
        <v>31119.55</v>
      </c>
      <c r="T54" s="199">
        <v>0</v>
      </c>
      <c r="U54" s="202"/>
      <c r="V54" s="203"/>
      <c r="W54" s="203"/>
      <c r="X54" s="204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</row>
    <row r="55" spans="1:36" s="191" customFormat="1" ht="17.25" thickTop="1" thickBot="1">
      <c r="D55" s="205"/>
      <c r="F55" s="206"/>
      <c r="H55" s="118">
        <f>SUM(H51:H54)</f>
        <v>0</v>
      </c>
      <c r="I55" s="573">
        <f>SUM(I51:I54)</f>
        <v>671.58</v>
      </c>
      <c r="J55" s="118">
        <f t="shared" ref="J55:T55" si="13">SUM(J51:J54)</f>
        <v>88550.16</v>
      </c>
      <c r="K55" s="573">
        <f t="shared" si="13"/>
        <v>840</v>
      </c>
      <c r="L55" s="118">
        <f t="shared" si="13"/>
        <v>646.19999999999993</v>
      </c>
      <c r="M55" s="118">
        <f t="shared" si="13"/>
        <v>165.96000000000004</v>
      </c>
      <c r="N55" s="118">
        <f t="shared" si="13"/>
        <v>0</v>
      </c>
      <c r="O55" s="118">
        <f t="shared" si="13"/>
        <v>0</v>
      </c>
      <c r="P55" s="118">
        <f t="shared" si="13"/>
        <v>2037.96</v>
      </c>
      <c r="Q55" s="118">
        <f>SUM(Q51:Q54)</f>
        <v>7502.82</v>
      </c>
      <c r="R55" s="118">
        <f t="shared" si="13"/>
        <v>0</v>
      </c>
      <c r="S55" s="118">
        <f>SUM(S51:S54)</f>
        <v>100414.68</v>
      </c>
      <c r="T55" s="118">
        <f t="shared" si="13"/>
        <v>0</v>
      </c>
      <c r="U55" s="118"/>
      <c r="V55" s="118">
        <f>S55+T55-R55</f>
        <v>100414.68</v>
      </c>
      <c r="W55" s="120">
        <f>S55-P55-R55-K55</f>
        <v>97536.719999999987</v>
      </c>
      <c r="X55" s="118">
        <f>S55+T55-R55</f>
        <v>100414.68</v>
      </c>
      <c r="Y55" s="118">
        <v>0</v>
      </c>
      <c r="Z55" s="118">
        <f>S55+T55-R55</f>
        <v>100414.68</v>
      </c>
      <c r="AA55" s="118">
        <f>ROUND((V55*23.8%),0)</f>
        <v>23899</v>
      </c>
      <c r="AB55" s="118">
        <f>ROUND((W55*2.88%),0)</f>
        <v>2809</v>
      </c>
      <c r="AC55" s="118">
        <v>0</v>
      </c>
      <c r="AD55" s="207">
        <f>ROUND((X55*0.5%),0)</f>
        <v>502</v>
      </c>
      <c r="AE55" s="208">
        <v>0</v>
      </c>
      <c r="AF55" s="118">
        <f>SUM(AA55:AE55)</f>
        <v>27210</v>
      </c>
      <c r="AG55" s="208">
        <f>ROUND((V55*8.5%),0)</f>
        <v>8535</v>
      </c>
      <c r="AH55" s="208">
        <f>SUM(AH51:AH54)</f>
        <v>0</v>
      </c>
      <c r="AI55" s="121">
        <f>S55-R55+T55-AA56-AB56-AC56</f>
        <v>100414.68</v>
      </c>
      <c r="AJ55" s="121">
        <f>ROUND((S55+T55-R55-AA56-AB56-AC56)*29%,0)</f>
        <v>29120</v>
      </c>
    </row>
    <row r="56" spans="1:36" s="191" customFormat="1" ht="17.25" thickTop="1" thickBot="1">
      <c r="D56" s="205"/>
      <c r="F56" s="206"/>
      <c r="H56" s="155"/>
      <c r="I56" s="600"/>
      <c r="J56" s="155"/>
      <c r="K56" s="600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29"/>
      <c r="AB56" s="129"/>
      <c r="AC56" s="129"/>
      <c r="AD56" s="155"/>
      <c r="AE56" s="155"/>
      <c r="AF56" s="121"/>
      <c r="AG56" s="155"/>
      <c r="AH56" s="155"/>
      <c r="AI56" s="130"/>
      <c r="AJ56" s="130"/>
    </row>
    <row r="57" spans="1:36" s="191" customFormat="1" ht="16.5" hidden="1" thickTop="1">
      <c r="D57" s="205"/>
      <c r="F57" s="206"/>
      <c r="H57" s="155"/>
      <c r="I57" s="600"/>
      <c r="J57" s="155"/>
      <c r="K57" s="600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30"/>
      <c r="AB57" s="130"/>
      <c r="AC57" s="130"/>
      <c r="AD57" s="155"/>
      <c r="AE57" s="155"/>
      <c r="AF57" s="130"/>
      <c r="AG57" s="155"/>
      <c r="AH57" s="155"/>
      <c r="AI57" s="130"/>
      <c r="AJ57" s="130"/>
    </row>
    <row r="58" spans="1:36" s="191" customFormat="1" ht="15.75" hidden="1">
      <c r="D58" s="205"/>
      <c r="F58" s="206"/>
      <c r="H58" s="155"/>
      <c r="I58" s="600"/>
      <c r="J58" s="155"/>
      <c r="K58" s="600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30"/>
      <c r="AB58" s="130"/>
      <c r="AC58" s="130"/>
      <c r="AD58" s="155"/>
      <c r="AE58" s="155"/>
      <c r="AF58" s="130"/>
      <c r="AG58" s="155"/>
      <c r="AH58" s="155"/>
      <c r="AI58" s="130"/>
      <c r="AJ58" s="130"/>
    </row>
    <row r="59" spans="1:36" s="191" customFormat="1" ht="15.75" hidden="1">
      <c r="C59" s="209"/>
      <c r="D59" s="210"/>
      <c r="E59" s="209"/>
      <c r="F59" s="211"/>
      <c r="G59" s="209"/>
      <c r="H59" s="212"/>
      <c r="I59" s="604"/>
      <c r="J59" s="212"/>
      <c r="K59" s="604"/>
      <c r="L59" s="212"/>
      <c r="M59" s="212"/>
      <c r="N59" s="212"/>
      <c r="O59" s="212"/>
      <c r="P59" s="212"/>
      <c r="Q59" s="212"/>
      <c r="R59" s="212"/>
      <c r="S59" s="212"/>
      <c r="T59" s="212"/>
      <c r="U59" s="155"/>
      <c r="V59" s="155"/>
      <c r="W59" s="155"/>
      <c r="X59" s="155"/>
      <c r="Y59" s="155"/>
      <c r="Z59" s="155"/>
      <c r="AA59" s="130"/>
      <c r="AB59" s="130"/>
      <c r="AC59" s="130"/>
      <c r="AD59" s="155"/>
      <c r="AE59" s="155"/>
      <c r="AF59" s="130"/>
      <c r="AG59" s="155"/>
      <c r="AH59" s="155"/>
      <c r="AI59" s="130"/>
      <c r="AJ59" s="130"/>
    </row>
    <row r="60" spans="1:36" s="102" customFormat="1" ht="16.5" hidden="1" thickBot="1">
      <c r="B60" s="194"/>
      <c r="C60" s="213"/>
      <c r="D60" s="214"/>
      <c r="E60" s="215" t="s">
        <v>66</v>
      </c>
      <c r="F60" s="216"/>
      <c r="G60" s="215"/>
      <c r="H60" s="217">
        <f>(J60+K60+P60+Q60)*3%</f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/>
      <c r="O60" s="202"/>
      <c r="P60" s="202">
        <v>0</v>
      </c>
      <c r="Q60" s="202">
        <f>ROUND((I60+J60+K60+L60+M60+N60)/12,2)</f>
        <v>0</v>
      </c>
      <c r="R60" s="202">
        <v>0</v>
      </c>
      <c r="S60" s="202">
        <f>SUM(I60:R60)</f>
        <v>0</v>
      </c>
      <c r="T60" s="202">
        <v>0</v>
      </c>
      <c r="U60" s="202"/>
      <c r="V60" s="218"/>
      <c r="W60" s="218"/>
      <c r="X60" s="218"/>
      <c r="Y60" s="218"/>
      <c r="Z60" s="218"/>
      <c r="AA60" s="219"/>
      <c r="AB60" s="219"/>
      <c r="AC60" s="219"/>
      <c r="AD60" s="219"/>
      <c r="AE60" s="220"/>
      <c r="AF60" s="219"/>
      <c r="AG60" s="219"/>
      <c r="AH60" s="219"/>
      <c r="AI60" s="218"/>
      <c r="AJ60" s="221"/>
    </row>
    <row r="61" spans="1:36" s="49" customFormat="1" ht="17.25" hidden="1" thickTop="1" thickBot="1">
      <c r="D61" s="115"/>
      <c r="E61" s="418"/>
      <c r="F61" s="116"/>
      <c r="G61" s="418"/>
      <c r="H61" s="120">
        <f t="shared" ref="H61:T61" si="14">SUM(H60:H60)</f>
        <v>0</v>
      </c>
      <c r="I61" s="570">
        <f t="shared" si="14"/>
        <v>0</v>
      </c>
      <c r="J61" s="120">
        <f t="shared" si="14"/>
        <v>0</v>
      </c>
      <c r="K61" s="570">
        <f t="shared" si="14"/>
        <v>0</v>
      </c>
      <c r="L61" s="120">
        <f t="shared" si="14"/>
        <v>0</v>
      </c>
      <c r="M61" s="120">
        <f t="shared" si="14"/>
        <v>0</v>
      </c>
      <c r="N61" s="120">
        <f t="shared" si="14"/>
        <v>0</v>
      </c>
      <c r="O61" s="120">
        <f t="shared" si="14"/>
        <v>0</v>
      </c>
      <c r="P61" s="120">
        <f t="shared" si="14"/>
        <v>0</v>
      </c>
      <c r="Q61" s="119">
        <f t="shared" si="14"/>
        <v>0</v>
      </c>
      <c r="R61" s="119">
        <f t="shared" si="14"/>
        <v>0</v>
      </c>
      <c r="S61" s="119">
        <f t="shared" si="14"/>
        <v>0</v>
      </c>
      <c r="T61" s="119">
        <f t="shared" si="14"/>
        <v>0</v>
      </c>
      <c r="U61" s="119"/>
      <c r="V61" s="120">
        <f>S61+T61-R61</f>
        <v>0</v>
      </c>
      <c r="W61" s="120">
        <f>S61-P61-R61</f>
        <v>0</v>
      </c>
      <c r="X61" s="120">
        <f>S61+T61-R61</f>
        <v>0</v>
      </c>
      <c r="Y61" s="120">
        <v>0</v>
      </c>
      <c r="Z61" s="120">
        <f>S61+T61-R61</f>
        <v>0</v>
      </c>
      <c r="AA61" s="120">
        <f>ROUND((V61*23.8%),0)</f>
        <v>0</v>
      </c>
      <c r="AB61" s="120">
        <f>ROUND((W61*2.88%),0)</f>
        <v>0</v>
      </c>
      <c r="AC61" s="120">
        <v>0</v>
      </c>
      <c r="AD61" s="122">
        <f>ROUND((X61*0.5%),0)</f>
        <v>0</v>
      </c>
      <c r="AE61" s="122">
        <f>ROUND(Y61*1.61%,0)</f>
        <v>0</v>
      </c>
      <c r="AF61" s="120">
        <f>SUM(AA61:AE61)</f>
        <v>0</v>
      </c>
      <c r="AG61" s="121">
        <f>ROUND((V61*8.5%),0)</f>
        <v>0</v>
      </c>
      <c r="AH61" s="122">
        <f>SUM(AH60:AH60)</f>
        <v>0</v>
      </c>
      <c r="AI61" s="121">
        <f>S61-R61+T61-AA62-AB62-AC62</f>
        <v>0</v>
      </c>
      <c r="AJ61" s="121">
        <f>ROUND((S61+T61-R61-AA62-AB62-AC62)*29%,0)</f>
        <v>0</v>
      </c>
    </row>
    <row r="62" spans="1:36" s="49" customFormat="1" ht="17.25" hidden="1" thickTop="1" thickBot="1">
      <c r="D62" s="115"/>
      <c r="E62" s="418"/>
      <c r="F62" s="116"/>
      <c r="G62" s="418"/>
      <c r="H62" s="187"/>
      <c r="I62" s="603"/>
      <c r="J62" s="131"/>
      <c r="K62" s="603"/>
      <c r="L62" s="131"/>
      <c r="M62" s="131"/>
      <c r="N62" s="131"/>
      <c r="O62" s="131"/>
      <c r="P62" s="131"/>
      <c r="Q62" s="188"/>
      <c r="R62" s="188"/>
      <c r="S62" s="188"/>
      <c r="T62" s="188"/>
      <c r="U62" s="188"/>
      <c r="V62" s="126"/>
      <c r="W62" s="126"/>
      <c r="X62" s="126"/>
      <c r="Y62" s="126"/>
      <c r="Z62" s="183"/>
      <c r="AA62" s="129"/>
      <c r="AB62" s="129"/>
      <c r="AC62" s="129"/>
      <c r="AD62" s="130"/>
      <c r="AE62" s="48"/>
      <c r="AF62" s="129"/>
      <c r="AG62" s="130"/>
      <c r="AH62" s="130"/>
      <c r="AI62" s="126"/>
      <c r="AJ62" s="126"/>
    </row>
    <row r="63" spans="1:36" s="191" customFormat="1" ht="16.5" thickTop="1">
      <c r="D63" s="205"/>
      <c r="F63" s="206"/>
      <c r="H63" s="155"/>
      <c r="I63" s="600"/>
      <c r="J63" s="155"/>
      <c r="K63" s="600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30"/>
      <c r="AB63" s="130"/>
      <c r="AC63" s="130"/>
      <c r="AD63" s="155"/>
      <c r="AE63" s="155"/>
      <c r="AF63" s="130"/>
      <c r="AG63" s="155"/>
      <c r="AH63" s="155"/>
      <c r="AI63" s="130"/>
      <c r="AJ63" s="130"/>
    </row>
    <row r="64" spans="1:36" s="191" customFormat="1" ht="15.75" hidden="1">
      <c r="D64" s="205"/>
      <c r="F64" s="206"/>
      <c r="H64" s="155"/>
      <c r="I64" s="600"/>
      <c r="J64" s="155"/>
      <c r="K64" s="600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30"/>
      <c r="AB64" s="130"/>
      <c r="AC64" s="130"/>
      <c r="AD64" s="155"/>
      <c r="AE64" s="155"/>
      <c r="AF64" s="130"/>
      <c r="AG64" s="155"/>
      <c r="AH64" s="155"/>
      <c r="AI64" s="130"/>
      <c r="AJ64" s="130"/>
    </row>
    <row r="65" spans="1:36" s="191" customFormat="1" ht="15.75" hidden="1">
      <c r="D65" s="205"/>
      <c r="F65" s="206"/>
      <c r="H65" s="155"/>
      <c r="I65" s="600"/>
      <c r="J65" s="155"/>
      <c r="K65" s="600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30"/>
      <c r="AJ65" s="130"/>
    </row>
    <row r="66" spans="1:36" s="49" customFormat="1" ht="16.5" thickBot="1">
      <c r="A66" s="86"/>
      <c r="B66" s="160">
        <v>21</v>
      </c>
      <c r="C66" s="160" t="s">
        <v>127</v>
      </c>
      <c r="D66" s="193"/>
      <c r="E66" s="76" t="s">
        <v>66</v>
      </c>
      <c r="F66" s="162"/>
      <c r="G66" s="76" t="s">
        <v>128</v>
      </c>
      <c r="H66" s="68">
        <v>0</v>
      </c>
      <c r="I66" s="199">
        <f>'CALCOLO VAC. E PEREQ 2020'!S96</f>
        <v>201.24</v>
      </c>
      <c r="J66" s="70">
        <f>2211.57*12</f>
        <v>26538.840000000004</v>
      </c>
      <c r="K66" s="199">
        <f>'CALCOLO VAC. E PEREQ 2020'!AE96</f>
        <v>72</v>
      </c>
      <c r="L66" s="70">
        <f>(1.26+14.2)*12</f>
        <v>185.51999999999998</v>
      </c>
      <c r="M66" s="70"/>
      <c r="N66" s="70"/>
      <c r="O66" s="70">
        <v>0</v>
      </c>
      <c r="P66" s="70">
        <f>(51.9*12)</f>
        <v>622.79999999999995</v>
      </c>
      <c r="Q66" s="71">
        <f>ROUND((I66+J66+L66+M66+N66)/12,2)</f>
        <v>2243.8000000000002</v>
      </c>
      <c r="R66" s="71"/>
      <c r="S66" s="71">
        <f t="shared" ref="S66:S74" si="15">SUM(I66:R66)</f>
        <v>29864.200000000004</v>
      </c>
      <c r="T66" s="164"/>
      <c r="U66" s="222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74">
        <f>10.14*12</f>
        <v>121.68</v>
      </c>
      <c r="AI66" s="166"/>
      <c r="AJ66" s="128"/>
    </row>
    <row r="67" spans="1:36" s="102" customFormat="1" ht="31.5" thickTop="1">
      <c r="A67" s="652"/>
      <c r="B67" s="223">
        <v>22</v>
      </c>
      <c r="C67" s="224" t="s">
        <v>129</v>
      </c>
      <c r="D67" s="225"/>
      <c r="E67" s="226" t="s">
        <v>66</v>
      </c>
      <c r="F67" s="227"/>
      <c r="G67" s="226" t="s">
        <v>112</v>
      </c>
      <c r="H67" s="228">
        <v>0</v>
      </c>
      <c r="I67" s="201">
        <f>'CALCOLO VAC. E PEREQ 2020'!S90</f>
        <v>176.15</v>
      </c>
      <c r="J67" s="171">
        <f>1935*12</f>
        <v>23220</v>
      </c>
      <c r="K67" s="201">
        <f>'CALCOLO VAC. E PEREQ 2020'!AE90</f>
        <v>192</v>
      </c>
      <c r="L67" s="201"/>
      <c r="M67" s="201"/>
      <c r="N67" s="201"/>
      <c r="O67" s="201"/>
      <c r="P67" s="201">
        <f>(51.9*12)</f>
        <v>622.79999999999995</v>
      </c>
      <c r="Q67" s="71">
        <f t="shared" ref="Q67:Q74" si="16">ROUND((I67+J67+L67+M67+N67)/12,2)</f>
        <v>1949.68</v>
      </c>
      <c r="R67" s="201"/>
      <c r="S67" s="201">
        <f t="shared" si="15"/>
        <v>26160.63</v>
      </c>
      <c r="T67" s="229"/>
      <c r="U67" s="230"/>
      <c r="V67" s="172"/>
      <c r="W67" s="172"/>
      <c r="X67" s="172"/>
      <c r="Y67" s="173"/>
      <c r="Z67" s="172"/>
      <c r="AA67" s="172"/>
      <c r="AB67" s="172"/>
      <c r="AC67" s="172"/>
      <c r="AD67" s="172"/>
      <c r="AE67" s="173"/>
      <c r="AF67" s="172"/>
      <c r="AG67" s="172"/>
      <c r="AH67" s="101"/>
      <c r="AI67" s="172"/>
      <c r="AJ67" s="173"/>
    </row>
    <row r="68" spans="1:36" s="49" customFormat="1" ht="15.75">
      <c r="A68" s="654"/>
      <c r="B68" s="160">
        <v>23</v>
      </c>
      <c r="C68" s="160" t="s">
        <v>130</v>
      </c>
      <c r="D68" s="193"/>
      <c r="E68" s="76" t="s">
        <v>66</v>
      </c>
      <c r="F68" s="162"/>
      <c r="G68" s="76" t="s">
        <v>131</v>
      </c>
      <c r="H68" s="68">
        <v>0</v>
      </c>
      <c r="I68" s="201">
        <f>'CALCOLO VAC. E PEREQ 2020'!S61</f>
        <v>78.975000000000009</v>
      </c>
      <c r="J68" s="71">
        <f>1735.77*12*50%</f>
        <v>10414.619999999999</v>
      </c>
      <c r="K68" s="201">
        <f>'CALCOLO VAC. E PEREQ 2020'!AE61</f>
        <v>132</v>
      </c>
      <c r="L68" s="70"/>
      <c r="M68" s="70"/>
      <c r="N68" s="70"/>
      <c r="O68" s="70"/>
      <c r="P68" s="70">
        <f>(45.8*12)/2</f>
        <v>274.79999999999995</v>
      </c>
      <c r="Q68" s="71">
        <f t="shared" si="16"/>
        <v>874.47</v>
      </c>
      <c r="R68" s="71"/>
      <c r="S68" s="71">
        <f t="shared" si="15"/>
        <v>11774.864999999998</v>
      </c>
      <c r="T68" s="71"/>
      <c r="U68" s="77"/>
      <c r="V68" s="166"/>
      <c r="W68" s="166"/>
      <c r="X68" s="166"/>
      <c r="Y68" s="128"/>
      <c r="Z68" s="166"/>
      <c r="AA68" s="166"/>
      <c r="AB68" s="128"/>
      <c r="AC68" s="166"/>
      <c r="AD68" s="166"/>
      <c r="AE68" s="128"/>
      <c r="AF68" s="166"/>
      <c r="AG68" s="166"/>
      <c r="AH68" s="74"/>
      <c r="AI68" s="128"/>
      <c r="AJ68" s="128"/>
    </row>
    <row r="69" spans="1:36" s="191" customFormat="1" hidden="1">
      <c r="A69" s="657"/>
      <c r="B69" s="223"/>
      <c r="C69" s="160"/>
      <c r="D69" s="193"/>
      <c r="E69" s="76" t="s">
        <v>66</v>
      </c>
      <c r="F69" s="162"/>
      <c r="G69" s="76"/>
      <c r="H69" s="163">
        <f t="shared" ref="H69" si="17">(J69+K69+P69+Q69)*3%</f>
        <v>0</v>
      </c>
      <c r="I69" s="201"/>
      <c r="J69" s="92"/>
      <c r="K69" s="201"/>
      <c r="L69" s="71"/>
      <c r="M69" s="71"/>
      <c r="N69" s="71"/>
      <c r="O69" s="71">
        <v>0</v>
      </c>
      <c r="P69" s="92"/>
      <c r="Q69" s="71">
        <f t="shared" si="16"/>
        <v>0</v>
      </c>
      <c r="R69" s="71"/>
      <c r="S69" s="71">
        <f t="shared" si="15"/>
        <v>0</v>
      </c>
      <c r="T69" s="71"/>
      <c r="U69" s="77"/>
      <c r="V69" s="165"/>
      <c r="W69" s="165"/>
      <c r="X69" s="165"/>
      <c r="Y69" s="192"/>
      <c r="Z69" s="165"/>
      <c r="AA69" s="165"/>
      <c r="AB69" s="192"/>
      <c r="AC69" s="165"/>
      <c r="AD69" s="165"/>
      <c r="AE69" s="165"/>
      <c r="AF69" s="165"/>
      <c r="AG69" s="165"/>
      <c r="AH69" s="77"/>
      <c r="AI69" s="192"/>
      <c r="AJ69" s="165"/>
    </row>
    <row r="70" spans="1:36" s="102" customFormat="1" ht="45.75" hidden="1" customHeight="1">
      <c r="A70" s="963" t="s">
        <v>492</v>
      </c>
      <c r="B70" s="223"/>
      <c r="C70" s="231"/>
      <c r="D70" s="232"/>
      <c r="E70" s="226"/>
      <c r="F70" s="227"/>
      <c r="G70" s="226"/>
      <c r="H70" s="228"/>
      <c r="I70" s="100"/>
      <c r="J70" s="100"/>
      <c r="K70" s="201"/>
      <c r="L70" s="201"/>
      <c r="M70" s="201"/>
      <c r="N70" s="201"/>
      <c r="O70" s="201"/>
      <c r="P70" s="100"/>
      <c r="Q70" s="71">
        <f t="shared" si="16"/>
        <v>0</v>
      </c>
      <c r="R70" s="201"/>
      <c r="S70" s="201">
        <f t="shared" si="15"/>
        <v>0</v>
      </c>
      <c r="T70" s="201"/>
      <c r="U70" s="101"/>
      <c r="V70" s="230"/>
      <c r="W70" s="230"/>
      <c r="X70" s="172"/>
      <c r="Y70" s="172"/>
      <c r="Z70" s="172"/>
      <c r="AA70" s="233"/>
      <c r="AB70" s="233"/>
      <c r="AC70" s="233"/>
      <c r="AD70" s="233"/>
      <c r="AE70" s="234"/>
      <c r="AF70" s="233"/>
      <c r="AG70" s="172"/>
      <c r="AH70" s="235"/>
      <c r="AI70" s="230"/>
      <c r="AJ70" s="230"/>
    </row>
    <row r="71" spans="1:36" s="102" customFormat="1" ht="23.25" customHeight="1" thickBot="1">
      <c r="A71" s="963"/>
      <c r="B71" s="223">
        <v>24</v>
      </c>
      <c r="C71" s="813" t="s">
        <v>455</v>
      </c>
      <c r="D71" s="814"/>
      <c r="E71" s="805" t="s">
        <v>66</v>
      </c>
      <c r="F71" s="815"/>
      <c r="G71" s="805" t="s">
        <v>2</v>
      </c>
      <c r="H71" s="816">
        <v>0</v>
      </c>
      <c r="I71" s="817">
        <f>'CALCOLO VAC. E PEREQ 2020'!S51</f>
        <v>154.31</v>
      </c>
      <c r="J71" s="597">
        <f>1695.34*12</f>
        <v>20344.079999999998</v>
      </c>
      <c r="K71" s="817">
        <f>'CALCOLO VAC. E PEREQ 2020'!AE51</f>
        <v>276</v>
      </c>
      <c r="L71" s="817"/>
      <c r="M71" s="817"/>
      <c r="N71" s="817"/>
      <c r="O71" s="817"/>
      <c r="P71" s="817">
        <f>(45.8*12)</f>
        <v>549.59999999999991</v>
      </c>
      <c r="Q71" s="154">
        <f t="shared" si="16"/>
        <v>1708.2</v>
      </c>
      <c r="R71" s="817"/>
      <c r="S71" s="817">
        <f>SUM(I71:R71)</f>
        <v>23032.19</v>
      </c>
      <c r="T71" s="101"/>
      <c r="U71" s="277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01"/>
      <c r="AI71" s="172"/>
      <c r="AJ71" s="172"/>
    </row>
    <row r="72" spans="1:36" s="49" customFormat="1" ht="32.25" hidden="1" customHeight="1" thickTop="1" thickBot="1">
      <c r="A72" s="654"/>
      <c r="B72" s="148"/>
      <c r="C72" s="238"/>
      <c r="D72" s="149"/>
      <c r="E72" s="150"/>
      <c r="F72" s="151"/>
      <c r="G72" s="150"/>
      <c r="H72" s="137"/>
      <c r="I72" s="199"/>
      <c r="J72" s="139"/>
      <c r="K72" s="199"/>
      <c r="L72" s="138"/>
      <c r="M72" s="138"/>
      <c r="N72" s="138"/>
      <c r="O72" s="138"/>
      <c r="P72" s="138"/>
      <c r="Q72" s="71">
        <f t="shared" si="16"/>
        <v>0</v>
      </c>
      <c r="R72" s="139"/>
      <c r="S72" s="139">
        <f t="shared" si="15"/>
        <v>0</v>
      </c>
      <c r="T72" s="139">
        <v>0</v>
      </c>
      <c r="U72" s="180"/>
      <c r="V72" s="181"/>
      <c r="W72" s="181"/>
      <c r="X72" s="181"/>
      <c r="Y72" s="182"/>
      <c r="Z72" s="181"/>
      <c r="AA72" s="181"/>
      <c r="AB72" s="182"/>
      <c r="AC72" s="181"/>
      <c r="AD72" s="181"/>
      <c r="AE72" s="181"/>
      <c r="AF72" s="181"/>
      <c r="AG72" s="181"/>
      <c r="AH72" s="239"/>
      <c r="AI72" s="182"/>
      <c r="AJ72" s="181"/>
    </row>
    <row r="73" spans="1:36" s="102" customFormat="1" ht="16.5" thickTop="1" thickBot="1">
      <c r="A73" s="652"/>
      <c r="B73" s="194">
        <v>25</v>
      </c>
      <c r="C73" s="240" t="s">
        <v>133</v>
      </c>
      <c r="D73" s="195"/>
      <c r="E73" s="196"/>
      <c r="F73" s="197"/>
      <c r="G73" s="196" t="s">
        <v>134</v>
      </c>
      <c r="H73" s="198"/>
      <c r="I73" s="199">
        <f>'CALCOLO VAC. E PEREQ 2020'!S10</f>
        <v>136.76</v>
      </c>
      <c r="J73" s="199">
        <f>1502.84*12</f>
        <v>18034.079999999998</v>
      </c>
      <c r="K73" s="199">
        <f>'CALCOLO VAC. E PEREQ 2020'!AE10</f>
        <v>324</v>
      </c>
      <c r="L73" s="199"/>
      <c r="M73" s="199"/>
      <c r="N73" s="199"/>
      <c r="O73" s="199">
        <f>5.38*12</f>
        <v>64.56</v>
      </c>
      <c r="P73" s="201">
        <f>39.31*12</f>
        <v>471.72</v>
      </c>
      <c r="Q73" s="71">
        <f t="shared" si="16"/>
        <v>1514.24</v>
      </c>
      <c r="R73" s="199"/>
      <c r="S73" s="199">
        <f t="shared" si="15"/>
        <v>20545.36</v>
      </c>
      <c r="T73" s="199"/>
      <c r="U73" s="241"/>
      <c r="V73" s="203"/>
      <c r="W73" s="203"/>
      <c r="X73" s="203"/>
      <c r="Y73" s="242"/>
      <c r="Z73" s="203"/>
      <c r="AA73" s="203"/>
      <c r="AB73" s="242"/>
      <c r="AC73" s="203"/>
      <c r="AD73" s="203"/>
      <c r="AE73" s="203"/>
      <c r="AF73" s="203"/>
      <c r="AG73" s="203"/>
      <c r="AH73" s="243"/>
      <c r="AI73" s="242"/>
      <c r="AJ73" s="203"/>
    </row>
    <row r="74" spans="1:36" s="102" customFormat="1" ht="16.5" thickTop="1" thickBot="1">
      <c r="A74" s="658"/>
      <c r="B74" s="194">
        <v>26</v>
      </c>
      <c r="C74" s="240" t="s">
        <v>135</v>
      </c>
      <c r="D74" s="195"/>
      <c r="E74" s="196"/>
      <c r="F74" s="197"/>
      <c r="G74" s="196" t="s">
        <v>134</v>
      </c>
      <c r="H74" s="198"/>
      <c r="I74" s="199">
        <f>'CALCOLO VAC. E PEREQ 2020'!S9</f>
        <v>136.76</v>
      </c>
      <c r="J74" s="199">
        <f>1502.84*12</f>
        <v>18034.079999999998</v>
      </c>
      <c r="K74" s="199">
        <f>'CALCOLO VAC. E PEREQ 2020'!AE9</f>
        <v>324</v>
      </c>
      <c r="L74" s="199"/>
      <c r="M74" s="199"/>
      <c r="N74" s="199"/>
      <c r="O74" s="199">
        <f>5.38*12</f>
        <v>64.56</v>
      </c>
      <c r="P74" s="201">
        <f>39.31*12</f>
        <v>471.72</v>
      </c>
      <c r="Q74" s="71">
        <f t="shared" si="16"/>
        <v>1514.24</v>
      </c>
      <c r="R74" s="199">
        <v>0</v>
      </c>
      <c r="S74" s="199">
        <f t="shared" si="15"/>
        <v>20545.36</v>
      </c>
      <c r="T74" s="199"/>
      <c r="U74" s="241"/>
      <c r="V74" s="203"/>
      <c r="W74" s="203"/>
      <c r="X74" s="203"/>
      <c r="Y74" s="242"/>
      <c r="Z74" s="203"/>
      <c r="AA74" s="203"/>
      <c r="AB74" s="242"/>
      <c r="AC74" s="203"/>
      <c r="AD74" s="203"/>
      <c r="AE74" s="203"/>
      <c r="AF74" s="203"/>
      <c r="AG74" s="203"/>
      <c r="AH74" s="243"/>
      <c r="AI74" s="242"/>
      <c r="AJ74" s="203"/>
    </row>
    <row r="75" spans="1:36" s="49" customFormat="1" ht="17.25" thickTop="1" thickBot="1">
      <c r="D75" s="115"/>
      <c r="F75" s="116"/>
      <c r="H75" s="120">
        <f t="shared" ref="H75:T75" si="18">SUM(H66:H74)</f>
        <v>0</v>
      </c>
      <c r="I75" s="570">
        <f t="shared" si="18"/>
        <v>884.19499999999994</v>
      </c>
      <c r="J75" s="120">
        <f t="shared" si="18"/>
        <v>116585.70000000001</v>
      </c>
      <c r="K75" s="570">
        <f t="shared" si="18"/>
        <v>1320</v>
      </c>
      <c r="L75" s="120">
        <f t="shared" si="18"/>
        <v>185.51999999999998</v>
      </c>
      <c r="M75" s="120">
        <f t="shared" si="18"/>
        <v>0</v>
      </c>
      <c r="N75" s="120">
        <f t="shared" si="18"/>
        <v>0</v>
      </c>
      <c r="O75" s="120">
        <f t="shared" si="18"/>
        <v>129.12</v>
      </c>
      <c r="P75" s="120">
        <f>SUM(P66:P74)</f>
        <v>3013.4400000000005</v>
      </c>
      <c r="Q75" s="119">
        <f>SUM(Q66:Q74)</f>
        <v>9804.630000000001</v>
      </c>
      <c r="R75" s="570">
        <f t="shared" si="18"/>
        <v>0</v>
      </c>
      <c r="S75" s="119">
        <f t="shared" si="18"/>
        <v>131922.60500000001</v>
      </c>
      <c r="T75" s="119">
        <f t="shared" si="18"/>
        <v>0</v>
      </c>
      <c r="U75" s="119"/>
      <c r="V75" s="120">
        <f>S75+T75-R75</f>
        <v>131922.60500000001</v>
      </c>
      <c r="W75" s="120">
        <f>S75-P75-R75-K75</f>
        <v>127589.16500000001</v>
      </c>
      <c r="X75" s="120">
        <f>S75+T75-R75</f>
        <v>131922.60500000001</v>
      </c>
      <c r="Y75" s="120">
        <v>0</v>
      </c>
      <c r="Z75" s="120">
        <f>S75+T75-R75</f>
        <v>131922.60500000001</v>
      </c>
      <c r="AA75" s="120">
        <f>ROUND((V75*23.8%),0)</f>
        <v>31398</v>
      </c>
      <c r="AB75" s="120">
        <f>ROUND((W75*2.88%),0)</f>
        <v>3675</v>
      </c>
      <c r="AC75" s="120">
        <v>0</v>
      </c>
      <c r="AD75" s="121">
        <f>ROUND((X75*0.5%),0)</f>
        <v>660</v>
      </c>
      <c r="AE75" s="121">
        <f>ROUND((Y75*1.61%),0)</f>
        <v>0</v>
      </c>
      <c r="AF75" s="120">
        <f>SUM(AA75:AE75)</f>
        <v>35733</v>
      </c>
      <c r="AG75" s="121">
        <f>ROUND((V75*8.5%),0)</f>
        <v>11213</v>
      </c>
      <c r="AH75" s="121">
        <f>SUM(AH66:AH74)</f>
        <v>121.68</v>
      </c>
      <c r="AI75" s="121">
        <f>S75-R75+T75-AA76-AB76-AC76</f>
        <v>131922.60500000001</v>
      </c>
      <c r="AJ75" s="121">
        <f>ROUND((S75+T75-R75-AA76-AB76-AC76)*29%,0)</f>
        <v>38258</v>
      </c>
    </row>
    <row r="76" spans="1:36" s="49" customFormat="1" ht="17.25" thickTop="1" thickBot="1">
      <c r="D76" s="115"/>
      <c r="F76" s="116"/>
      <c r="I76" s="605"/>
      <c r="J76" s="126"/>
      <c r="K76" s="602"/>
      <c r="L76" s="126"/>
      <c r="M76" s="126"/>
      <c r="N76" s="126"/>
      <c r="O76" s="126"/>
      <c r="P76" s="126"/>
      <c r="Q76" s="125"/>
      <c r="R76" s="125"/>
      <c r="S76" s="125"/>
      <c r="T76" s="125"/>
      <c r="U76" s="125"/>
      <c r="V76" s="126"/>
      <c r="W76" s="126"/>
      <c r="X76" s="127"/>
      <c r="Y76" s="127"/>
      <c r="Z76" s="183"/>
      <c r="AA76" s="129"/>
      <c r="AB76" s="129"/>
      <c r="AC76" s="129"/>
      <c r="AD76" s="130"/>
      <c r="AE76" s="48"/>
      <c r="AF76" s="129"/>
      <c r="AG76" s="127"/>
      <c r="AH76" s="126"/>
      <c r="AI76" s="127"/>
      <c r="AJ76" s="127"/>
    </row>
    <row r="77" spans="1:36" s="49" customFormat="1" ht="16.5" hidden="1" thickTop="1">
      <c r="D77" s="115"/>
      <c r="F77" s="116"/>
      <c r="I77" s="602"/>
      <c r="J77" s="126"/>
      <c r="K77" s="602"/>
      <c r="L77" s="126"/>
      <c r="M77" s="126"/>
      <c r="N77" s="126"/>
      <c r="O77" s="126"/>
      <c r="P77" s="244"/>
      <c r="Q77" s="125"/>
      <c r="R77" s="125"/>
      <c r="S77" s="125"/>
      <c r="T77" s="125"/>
      <c r="U77" s="125"/>
      <c r="V77" s="126"/>
      <c r="W77" s="126"/>
      <c r="X77" s="127"/>
      <c r="Y77" s="127"/>
      <c r="Z77" s="126"/>
      <c r="AA77" s="130"/>
      <c r="AB77" s="130"/>
      <c r="AC77" s="130"/>
      <c r="AD77" s="130"/>
      <c r="AE77" s="48"/>
      <c r="AF77" s="130"/>
      <c r="AG77" s="127"/>
      <c r="AH77" s="126"/>
      <c r="AI77" s="127"/>
      <c r="AJ77" s="127"/>
    </row>
    <row r="78" spans="1:36" s="49" customFormat="1" ht="15.75" hidden="1">
      <c r="D78" s="115"/>
      <c r="F78" s="116"/>
      <c r="I78" s="602"/>
      <c r="J78" s="126"/>
      <c r="K78" s="602"/>
      <c r="L78" s="126"/>
      <c r="M78" s="126"/>
      <c r="N78" s="126"/>
      <c r="O78" s="126"/>
      <c r="P78" s="126"/>
      <c r="Q78" s="125"/>
      <c r="R78" s="125"/>
      <c r="S78" s="125"/>
      <c r="T78" s="125"/>
      <c r="U78" s="125"/>
      <c r="V78" s="126"/>
      <c r="W78" s="126"/>
      <c r="X78" s="127"/>
      <c r="Y78" s="127"/>
      <c r="Z78" s="126"/>
      <c r="AA78" s="126"/>
      <c r="AB78" s="126"/>
      <c r="AC78" s="126"/>
      <c r="AD78" s="48"/>
      <c r="AE78" s="48"/>
      <c r="AF78" s="126"/>
      <c r="AG78" s="127"/>
      <c r="AH78" s="126"/>
      <c r="AI78" s="127"/>
      <c r="AJ78" s="127"/>
    </row>
    <row r="79" spans="1:36" s="85" customFormat="1" ht="61.5" thickTop="1" thickBot="1">
      <c r="A79" s="819" t="s">
        <v>493</v>
      </c>
      <c r="B79" s="820">
        <v>27</v>
      </c>
      <c r="C79" s="818" t="s">
        <v>740</v>
      </c>
      <c r="D79" s="821" t="s">
        <v>136</v>
      </c>
      <c r="E79" s="306"/>
      <c r="F79" s="822" t="s">
        <v>67</v>
      </c>
      <c r="G79" s="823" t="s">
        <v>121</v>
      </c>
      <c r="H79" s="824"/>
      <c r="I79" s="825">
        <f>'CALCOLO VAC. E PEREQ 2020'!S89</f>
        <v>97.900833333333352</v>
      </c>
      <c r="J79" s="825">
        <f>1844.62*7</f>
        <v>12912.34</v>
      </c>
      <c r="K79" s="825">
        <f>'CALCOLO VAC. E PEREQ 2020'!AE89</f>
        <v>133</v>
      </c>
      <c r="L79" s="825"/>
      <c r="M79" s="825"/>
      <c r="N79" s="825">
        <f>993.19*7</f>
        <v>6952.33</v>
      </c>
      <c r="O79" s="825">
        <f>N79*20%</f>
        <v>1390.4660000000001</v>
      </c>
      <c r="P79" s="825">
        <f>(51.9*7)</f>
        <v>363.3</v>
      </c>
      <c r="Q79" s="825">
        <f>ROUND((I79+J79+L79+M79+N79)/7,2)</f>
        <v>2851.8</v>
      </c>
      <c r="R79" s="825"/>
      <c r="S79" s="825">
        <f>SUM(I79:R79)</f>
        <v>24701.13683333333</v>
      </c>
      <c r="T79" s="826"/>
      <c r="U79" s="827"/>
      <c r="V79" s="828"/>
      <c r="W79" s="828"/>
      <c r="X79" s="828"/>
      <c r="Y79" s="828"/>
      <c r="Z79" s="828"/>
      <c r="AA79" s="828"/>
      <c r="AB79" s="828"/>
      <c r="AC79" s="303"/>
      <c r="AD79" s="828"/>
      <c r="AE79" s="828"/>
      <c r="AF79" s="828"/>
      <c r="AG79" s="828"/>
      <c r="AH79" s="828"/>
      <c r="AI79" s="828" t="s">
        <v>96</v>
      </c>
      <c r="AJ79" s="828" t="s">
        <v>96</v>
      </c>
    </row>
    <row r="80" spans="1:36" s="49" customFormat="1" ht="16.5" thickTop="1">
      <c r="D80" s="115"/>
      <c r="F80" s="116"/>
      <c r="I80" s="602"/>
      <c r="J80" s="126"/>
      <c r="K80" s="602"/>
      <c r="L80" s="126"/>
      <c r="M80" s="126"/>
      <c r="N80" s="126"/>
      <c r="O80" s="126"/>
      <c r="P80" s="126"/>
      <c r="Q80" s="125"/>
      <c r="R80" s="125"/>
      <c r="S80" s="125"/>
      <c r="T80" s="125"/>
      <c r="U80" s="125"/>
      <c r="V80" s="126"/>
      <c r="W80" s="126"/>
      <c r="X80" s="127"/>
      <c r="Y80" s="127"/>
      <c r="Z80" s="126"/>
      <c r="AA80" s="126"/>
      <c r="AB80" s="126"/>
      <c r="AC80" s="126"/>
      <c r="AD80" s="48"/>
      <c r="AE80" s="48"/>
      <c r="AF80" s="126"/>
      <c r="AG80" s="127"/>
      <c r="AH80" s="126"/>
      <c r="AI80" s="127"/>
      <c r="AJ80" s="127"/>
    </row>
    <row r="81" spans="1:37" s="49" customFormat="1" ht="90.75" thickBot="1">
      <c r="A81" s="548" t="s">
        <v>493</v>
      </c>
      <c r="B81" s="245">
        <v>27</v>
      </c>
      <c r="C81" s="592" t="s">
        <v>567</v>
      </c>
      <c r="D81" s="666" t="s">
        <v>136</v>
      </c>
      <c r="E81" s="660"/>
      <c r="F81" s="667" t="s">
        <v>67</v>
      </c>
      <c r="G81" s="668" t="s">
        <v>1</v>
      </c>
      <c r="H81" s="669"/>
      <c r="I81" s="670">
        <f>'CALCOLO VAC. E PEREQ 2020'!S93</f>
        <v>193.04999999999998</v>
      </c>
      <c r="J81" s="670">
        <f>2120.99*12</f>
        <v>25451.879999999997</v>
      </c>
      <c r="K81" s="670">
        <f>'CALCOLO VAC. E PEREQ 2020'!AE93</f>
        <v>108</v>
      </c>
      <c r="L81" s="670"/>
      <c r="M81" s="670"/>
      <c r="N81" s="670">
        <f>(993.19+391.42)*12</f>
        <v>16615.32</v>
      </c>
      <c r="O81" s="670">
        <f>N81*20%</f>
        <v>3323.0640000000003</v>
      </c>
      <c r="P81" s="670">
        <f>(51.9*12)</f>
        <v>622.79999999999995</v>
      </c>
      <c r="Q81" s="670">
        <f>ROUND((I81+J81+L81+M81+N81)/12,2)</f>
        <v>3521.69</v>
      </c>
      <c r="R81" s="670"/>
      <c r="S81" s="670">
        <f>SUM(I81:R81)</f>
        <v>49835.804000000004</v>
      </c>
      <c r="T81" s="246"/>
      <c r="U81" s="247"/>
      <c r="V81" s="140"/>
      <c r="W81" s="140"/>
      <c r="X81" s="140"/>
      <c r="Y81" s="140"/>
      <c r="Z81" s="140"/>
      <c r="AA81" s="140"/>
      <c r="AB81" s="140"/>
      <c r="AC81" s="103"/>
      <c r="AD81" s="140"/>
      <c r="AE81" s="140"/>
      <c r="AF81" s="140"/>
      <c r="AG81" s="140"/>
      <c r="AH81" s="140"/>
      <c r="AI81" s="140" t="s">
        <v>96</v>
      </c>
      <c r="AJ81" s="140" t="s">
        <v>96</v>
      </c>
    </row>
    <row r="82" spans="1:37" s="49" customFormat="1" ht="17.25" thickTop="1" thickBot="1">
      <c r="D82" s="115"/>
      <c r="F82" s="116"/>
      <c r="H82" s="120">
        <f t="shared" ref="H82:T82" si="19">SUM(H81:H81)</f>
        <v>0</v>
      </c>
      <c r="I82" s="118">
        <f t="shared" ref="I82:P82" si="20">SUM(I79:I81)</f>
        <v>290.95083333333332</v>
      </c>
      <c r="J82" s="118">
        <f t="shared" si="20"/>
        <v>38364.22</v>
      </c>
      <c r="K82" s="118">
        <f t="shared" si="20"/>
        <v>241</v>
      </c>
      <c r="L82" s="118">
        <f t="shared" si="20"/>
        <v>0</v>
      </c>
      <c r="M82" s="118">
        <f t="shared" si="20"/>
        <v>0</v>
      </c>
      <c r="N82" s="118">
        <f t="shared" si="20"/>
        <v>23567.65</v>
      </c>
      <c r="O82" s="118">
        <f t="shared" si="20"/>
        <v>4713.5300000000007</v>
      </c>
      <c r="P82" s="118">
        <f t="shared" si="20"/>
        <v>986.09999999999991</v>
      </c>
      <c r="Q82" s="118">
        <f>SUM(Q79:Q81)</f>
        <v>6373.49</v>
      </c>
      <c r="R82" s="118">
        <f t="shared" ref="R82:S82" si="21">SUM(R79:R81)</f>
        <v>0</v>
      </c>
      <c r="S82" s="118">
        <f t="shared" si="21"/>
        <v>74536.940833333327</v>
      </c>
      <c r="T82" s="118">
        <f t="shared" si="19"/>
        <v>0</v>
      </c>
      <c r="U82" s="119"/>
      <c r="V82" s="120">
        <f>S82+T82-R82</f>
        <v>74536.940833333327</v>
      </c>
      <c r="W82" s="120">
        <f>S82-P82-R82-K82</f>
        <v>73309.840833333321</v>
      </c>
      <c r="X82" s="120">
        <f>S82+T82-R82</f>
        <v>74536.940833333327</v>
      </c>
      <c r="Y82" s="120">
        <f>S82</f>
        <v>74536.940833333327</v>
      </c>
      <c r="Z82" s="120">
        <f>S82+T82-R82</f>
        <v>74536.940833333327</v>
      </c>
      <c r="AA82" s="120">
        <f>ROUND((V82*23.8%),0)</f>
        <v>17740</v>
      </c>
      <c r="AB82" s="120">
        <f>ROUND((W82*2.88%),0)</f>
        <v>2111</v>
      </c>
      <c r="AC82" s="120">
        <v>0</v>
      </c>
      <c r="AD82" s="121">
        <f>ROUND((X82*0.5%),0)</f>
        <v>373</v>
      </c>
      <c r="AE82" s="121">
        <f>ROUND((Y82*1.61%),0)</f>
        <v>1200</v>
      </c>
      <c r="AF82" s="120">
        <f>SUM(AA82:AE82)</f>
        <v>21424</v>
      </c>
      <c r="AG82" s="121">
        <f>ROUND((V82*8.5%),0)</f>
        <v>6336</v>
      </c>
      <c r="AH82" s="121">
        <f>SUM(AH81:AH81)</f>
        <v>0</v>
      </c>
      <c r="AI82" s="121">
        <f>S82-R82+T82-AA83-AB83-AC83</f>
        <v>74536.940833333327</v>
      </c>
      <c r="AJ82" s="121">
        <f>ROUND((S82+T82-R82-AA83-AB83-AC83)*29%,0)</f>
        <v>21616</v>
      </c>
    </row>
    <row r="83" spans="1:37" s="49" customFormat="1" ht="17.25" thickTop="1" thickBot="1">
      <c r="D83" s="115"/>
      <c r="F83" s="116"/>
      <c r="I83" s="602"/>
      <c r="J83" s="126"/>
      <c r="K83" s="602"/>
      <c r="L83" s="126"/>
      <c r="M83" s="126"/>
      <c r="N83" s="126"/>
      <c r="O83" s="126"/>
      <c r="P83" s="126"/>
      <c r="Q83" s="125"/>
      <c r="R83" s="125"/>
      <c r="S83" s="125"/>
      <c r="T83" s="125"/>
      <c r="U83" s="125"/>
      <c r="V83" s="127"/>
      <c r="W83" s="127"/>
      <c r="X83" s="127"/>
      <c r="Y83" s="127"/>
      <c r="Z83" s="127"/>
      <c r="AA83" s="129"/>
      <c r="AB83" s="129"/>
      <c r="AC83" s="129"/>
      <c r="AD83" s="130"/>
      <c r="AE83" s="48"/>
      <c r="AF83" s="129"/>
      <c r="AG83" s="127"/>
      <c r="AH83" s="127"/>
      <c r="AI83" s="127"/>
      <c r="AJ83" s="127"/>
    </row>
    <row r="84" spans="1:37" s="49" customFormat="1" ht="16.5" hidden="1" thickTop="1">
      <c r="D84" s="115"/>
      <c r="F84" s="116"/>
      <c r="I84" s="602"/>
      <c r="J84" s="126"/>
      <c r="K84" s="602"/>
      <c r="L84" s="126"/>
      <c r="M84" s="126"/>
      <c r="N84" s="126"/>
      <c r="O84" s="126"/>
      <c r="P84" s="126"/>
      <c r="Q84" s="125"/>
      <c r="R84" s="125"/>
      <c r="S84" s="125"/>
      <c r="T84" s="125"/>
      <c r="U84" s="125"/>
      <c r="V84" s="126"/>
      <c r="W84" s="126"/>
      <c r="X84" s="127"/>
      <c r="Y84" s="127"/>
      <c r="Z84" s="126"/>
      <c r="AA84" s="126"/>
      <c r="AB84" s="126"/>
      <c r="AC84" s="126"/>
      <c r="AD84" s="48"/>
      <c r="AE84" s="48"/>
      <c r="AF84" s="126"/>
      <c r="AG84" s="127"/>
      <c r="AH84" s="126"/>
      <c r="AI84" s="127"/>
      <c r="AJ84" s="127"/>
    </row>
    <row r="85" spans="1:37" ht="15.75" hidden="1">
      <c r="C85" s="49"/>
      <c r="D85" s="115"/>
      <c r="E85" s="49"/>
      <c r="F85" s="116"/>
      <c r="G85" s="49"/>
      <c r="H85" s="49"/>
      <c r="I85" s="295"/>
      <c r="J85" s="159"/>
      <c r="K85" s="295"/>
      <c r="L85" s="127"/>
      <c r="M85" s="127"/>
      <c r="N85" s="127"/>
      <c r="O85" s="127"/>
      <c r="P85" s="127"/>
      <c r="Q85" s="144"/>
      <c r="R85" s="144"/>
      <c r="S85" s="144"/>
      <c r="T85" s="248"/>
      <c r="U85" s="248"/>
      <c r="V85" s="159"/>
      <c r="W85" s="159"/>
      <c r="X85" s="159"/>
      <c r="Y85" s="159"/>
      <c r="Z85" s="159"/>
      <c r="AA85" s="249"/>
      <c r="AB85" s="249"/>
      <c r="AC85" s="249"/>
      <c r="AD85" s="250"/>
      <c r="AE85" s="250"/>
      <c r="AF85" s="249"/>
      <c r="AG85" s="159"/>
      <c r="AH85" s="159"/>
      <c r="AI85" s="159"/>
      <c r="AJ85" s="159"/>
      <c r="AK85" s="49"/>
    </row>
    <row r="86" spans="1:37" s="102" customFormat="1" ht="45.75" thickTop="1">
      <c r="B86" s="223">
        <v>28</v>
      </c>
      <c r="C86" s="224" t="s">
        <v>137</v>
      </c>
      <c r="D86" s="251" t="s">
        <v>138</v>
      </c>
      <c r="E86" s="226" t="s">
        <v>66</v>
      </c>
      <c r="F86" s="252"/>
      <c r="G86" s="226" t="s">
        <v>139</v>
      </c>
      <c r="H86" s="228">
        <v>0</v>
      </c>
      <c r="I86" s="201">
        <f>'CALCOLO VAC. E PEREQ 2020'!S100</f>
        <v>201.24</v>
      </c>
      <c r="J86" s="70">
        <f>2211.57*12</f>
        <v>26538.840000000004</v>
      </c>
      <c r="K86" s="201">
        <f>'CALCOLO VAC. E PEREQ 2020'!AE100</f>
        <v>72</v>
      </c>
      <c r="L86" s="201">
        <f>28.55*12</f>
        <v>342.6</v>
      </c>
      <c r="M86" s="201"/>
      <c r="N86" s="201">
        <f>730.77*12</f>
        <v>8769.24</v>
      </c>
      <c r="O86" s="201">
        <f>(730.77*13)*20%</f>
        <v>1900.0020000000002</v>
      </c>
      <c r="P86" s="201">
        <f>(51.9*12)</f>
        <v>622.79999999999995</v>
      </c>
      <c r="Q86" s="201">
        <f>ROUND((I86+J86+L86+M86+N86)/12,2)</f>
        <v>2987.66</v>
      </c>
      <c r="R86" s="201">
        <v>0</v>
      </c>
      <c r="S86" s="201">
        <f>SUM(I86:R86)</f>
        <v>41434.382000000012</v>
      </c>
      <c r="T86" s="201"/>
      <c r="U86" s="101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01">
        <f>16.23*12</f>
        <v>194.76</v>
      </c>
      <c r="AI86" s="172" t="s">
        <v>96</v>
      </c>
      <c r="AJ86" s="172" t="s">
        <v>96</v>
      </c>
    </row>
    <row r="87" spans="1:37" s="49" customFormat="1">
      <c r="B87" s="64">
        <v>29</v>
      </c>
      <c r="C87" s="64" t="s">
        <v>140</v>
      </c>
      <c r="D87" s="75" t="s">
        <v>96</v>
      </c>
      <c r="E87" s="66" t="s">
        <v>66</v>
      </c>
      <c r="F87" s="67"/>
      <c r="G87" s="76" t="s">
        <v>141</v>
      </c>
      <c r="H87" s="68">
        <v>0</v>
      </c>
      <c r="I87" s="201">
        <f>'CALCOLO VAC. E PEREQ 2020'!S26</f>
        <v>151.84</v>
      </c>
      <c r="J87" s="70">
        <f>1668.26*12</f>
        <v>20019.12</v>
      </c>
      <c r="K87" s="201">
        <f>'CALCOLO VAC. E PEREQ 2020'!AE26</f>
        <v>276</v>
      </c>
      <c r="L87" s="70">
        <f>33.02*12</f>
        <v>396.24</v>
      </c>
      <c r="M87" s="70"/>
      <c r="N87" s="70"/>
      <c r="O87" s="70">
        <f>5.38*12</f>
        <v>64.56</v>
      </c>
      <c r="P87" s="70">
        <f>(39.31*12)</f>
        <v>471.72</v>
      </c>
      <c r="Q87" s="201">
        <f t="shared" ref="Q87:Q90" si="22">ROUND((I87+J87+L87+M87+N87)/12,2)</f>
        <v>1713.93</v>
      </c>
      <c r="R87" s="71">
        <v>0</v>
      </c>
      <c r="S87" s="71">
        <f>SUM(I87:R87)</f>
        <v>23093.410000000003</v>
      </c>
      <c r="T87" s="71"/>
      <c r="U87" s="77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74"/>
      <c r="AI87" s="166"/>
      <c r="AJ87" s="166"/>
    </row>
    <row r="88" spans="1:37" s="49" customFormat="1">
      <c r="A88" s="548" t="s">
        <v>494</v>
      </c>
      <c r="B88" s="64">
        <v>30</v>
      </c>
      <c r="C88" s="64" t="s">
        <v>142</v>
      </c>
      <c r="D88" s="75"/>
      <c r="E88" s="66" t="s">
        <v>66</v>
      </c>
      <c r="F88" s="67"/>
      <c r="G88" s="76" t="s">
        <v>101</v>
      </c>
      <c r="H88" s="68">
        <v>0</v>
      </c>
      <c r="I88" s="201">
        <f>'CALCOLO VAC. E PEREQ 2020'!S33</f>
        <v>151.84</v>
      </c>
      <c r="J88" s="70">
        <f>1668.26*12</f>
        <v>20019.12</v>
      </c>
      <c r="K88" s="201">
        <f>'CALCOLO VAC. E PEREQ 2020'!AE33</f>
        <v>276</v>
      </c>
      <c r="L88" s="70">
        <v>0</v>
      </c>
      <c r="M88" s="70">
        <f>4.61*12</f>
        <v>55.320000000000007</v>
      </c>
      <c r="N88" s="70"/>
      <c r="O88" s="70">
        <v>0</v>
      </c>
      <c r="P88" s="70">
        <f>(39.31*12)</f>
        <v>471.72</v>
      </c>
      <c r="Q88" s="201">
        <f t="shared" si="22"/>
        <v>1685.52</v>
      </c>
      <c r="R88" s="71">
        <v>0</v>
      </c>
      <c r="S88" s="71">
        <f>SUM(I88:R88)</f>
        <v>22659.52</v>
      </c>
      <c r="T88" s="71"/>
      <c r="U88" s="77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74"/>
      <c r="AI88" s="166"/>
      <c r="AJ88" s="166"/>
    </row>
    <row r="89" spans="1:37" s="49" customFormat="1" ht="45">
      <c r="B89" s="64"/>
      <c r="C89" s="593" t="s">
        <v>549</v>
      </c>
      <c r="D89" s="671"/>
      <c r="E89" s="672" t="s">
        <v>66</v>
      </c>
      <c r="F89" s="673"/>
      <c r="G89" s="672" t="s">
        <v>143</v>
      </c>
      <c r="H89" s="674">
        <v>0</v>
      </c>
      <c r="I89" s="675">
        <v>0</v>
      </c>
      <c r="J89" s="675">
        <v>0</v>
      </c>
      <c r="K89" s="675">
        <v>0</v>
      </c>
      <c r="L89" s="675">
        <v>0</v>
      </c>
      <c r="M89" s="675"/>
      <c r="N89" s="675"/>
      <c r="O89" s="675"/>
      <c r="P89" s="675">
        <v>0</v>
      </c>
      <c r="Q89" s="675">
        <f t="shared" si="22"/>
        <v>0</v>
      </c>
      <c r="R89" s="675">
        <v>0</v>
      </c>
      <c r="S89" s="675">
        <f>SUM(I89:R89)</f>
        <v>0</v>
      </c>
      <c r="T89" s="71"/>
      <c r="U89" s="77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74">
        <f>210.16*12</f>
        <v>2521.92</v>
      </c>
      <c r="AI89" s="166"/>
      <c r="AJ89" s="166"/>
    </row>
    <row r="90" spans="1:37" s="102" customFormat="1" ht="31.5" thickBot="1">
      <c r="B90" s="194">
        <v>31</v>
      </c>
      <c r="C90" s="253" t="s">
        <v>144</v>
      </c>
      <c r="D90" s="195"/>
      <c r="E90" s="196" t="s">
        <v>66</v>
      </c>
      <c r="F90" s="197"/>
      <c r="G90" s="196" t="s">
        <v>139</v>
      </c>
      <c r="H90" s="198">
        <v>0</v>
      </c>
      <c r="I90" s="199">
        <f>'CALCOLO VAC. E PEREQ 2020'!S101</f>
        <v>201.24</v>
      </c>
      <c r="J90" s="70">
        <f>2211.57*12</f>
        <v>26538.840000000004</v>
      </c>
      <c r="K90" s="201">
        <f>'CALCOLO VAC. E PEREQ 2020'!AE101</f>
        <v>72</v>
      </c>
      <c r="L90" s="199">
        <f>15.83*12</f>
        <v>189.96</v>
      </c>
      <c r="M90" s="199"/>
      <c r="N90" s="199"/>
      <c r="O90" s="199">
        <v>0</v>
      </c>
      <c r="P90" s="199">
        <f>(51.9*12)</f>
        <v>622.79999999999995</v>
      </c>
      <c r="Q90" s="201">
        <f t="shared" si="22"/>
        <v>2244.17</v>
      </c>
      <c r="R90" s="199">
        <v>0</v>
      </c>
      <c r="S90" s="199">
        <f>SUM(I90:R90)</f>
        <v>29869.010000000002</v>
      </c>
      <c r="T90" s="199">
        <v>0</v>
      </c>
      <c r="U90" s="254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2">
        <f>(159.34*1)+(16.23*12)</f>
        <v>354.1</v>
      </c>
      <c r="AI90" s="203"/>
      <c r="AJ90" s="203"/>
    </row>
    <row r="91" spans="1:37" s="49" customFormat="1" ht="17.25" thickTop="1" thickBot="1">
      <c r="D91" s="115"/>
      <c r="F91" s="116"/>
      <c r="H91" s="255">
        <f t="shared" ref="H91:T91" si="23">SUM(H86:H90)</f>
        <v>0</v>
      </c>
      <c r="I91" s="606">
        <f t="shared" si="23"/>
        <v>706.16000000000008</v>
      </c>
      <c r="J91" s="255">
        <f t="shared" si="23"/>
        <v>93115.920000000013</v>
      </c>
      <c r="K91" s="606">
        <f>SUM(K86:K90)</f>
        <v>696</v>
      </c>
      <c r="L91" s="255">
        <f t="shared" si="23"/>
        <v>928.80000000000007</v>
      </c>
      <c r="M91" s="255">
        <f t="shared" si="23"/>
        <v>55.320000000000007</v>
      </c>
      <c r="N91" s="255">
        <f t="shared" si="23"/>
        <v>8769.24</v>
      </c>
      <c r="O91" s="255">
        <f t="shared" si="23"/>
        <v>1964.5620000000001</v>
      </c>
      <c r="P91" s="255">
        <f t="shared" si="23"/>
        <v>2189.04</v>
      </c>
      <c r="Q91" s="256">
        <f>SUM(Q86:Q90)</f>
        <v>8631.2800000000007</v>
      </c>
      <c r="R91" s="256">
        <f t="shared" si="23"/>
        <v>0</v>
      </c>
      <c r="S91" s="256">
        <f t="shared" si="23"/>
        <v>117056.32200000001</v>
      </c>
      <c r="T91" s="119">
        <f t="shared" si="23"/>
        <v>0</v>
      </c>
      <c r="U91" s="119"/>
      <c r="V91" s="120">
        <f>S91+T91-R91</f>
        <v>117056.32200000001</v>
      </c>
      <c r="W91" s="120">
        <f>S91-P91-R91-K91</f>
        <v>114171.28200000002</v>
      </c>
      <c r="X91" s="120">
        <f>S91+T91-R91</f>
        <v>117056.32200000001</v>
      </c>
      <c r="Y91" s="120">
        <v>0</v>
      </c>
      <c r="Z91" s="120">
        <f>S91+T91-R91</f>
        <v>117056.32200000001</v>
      </c>
      <c r="AA91" s="143">
        <f>ROUND((V91*23.8%),0)</f>
        <v>27859</v>
      </c>
      <c r="AB91" s="120">
        <f>ROUND((W91*2.88%),0)</f>
        <v>3288</v>
      </c>
      <c r="AC91" s="120">
        <v>0</v>
      </c>
      <c r="AD91" s="121">
        <f>ROUND((X91*0.5%),0)</f>
        <v>585</v>
      </c>
      <c r="AE91" s="121">
        <v>0</v>
      </c>
      <c r="AF91" s="120">
        <f>SUM(AA91:AE91)</f>
        <v>31732</v>
      </c>
      <c r="AG91" s="122">
        <f>ROUND((V91*8.5%),0)</f>
        <v>9950</v>
      </c>
      <c r="AH91" s="121">
        <f>SUM(AH86:AH90)</f>
        <v>3070.78</v>
      </c>
      <c r="AI91" s="121">
        <f>S91-R91+T91-AA92-AB92-AC92</f>
        <v>117056.32200000001</v>
      </c>
      <c r="AJ91" s="121">
        <f>ROUND((S91+T91-R91-AA92-AB92-AC92)*29%,0)</f>
        <v>33946</v>
      </c>
    </row>
    <row r="92" spans="1:37" s="49" customFormat="1" ht="17.25" thickTop="1" thickBot="1">
      <c r="D92" s="115"/>
      <c r="F92" s="116"/>
      <c r="G92" s="418"/>
      <c r="H92" s="418"/>
      <c r="I92" s="295"/>
      <c r="J92" s="127"/>
      <c r="K92" s="295"/>
      <c r="L92" s="127"/>
      <c r="M92" s="127"/>
      <c r="N92" s="127"/>
      <c r="O92" s="127"/>
      <c r="P92" s="127"/>
      <c r="Q92" s="144"/>
      <c r="R92" s="145"/>
      <c r="S92" s="144"/>
      <c r="T92" s="144"/>
      <c r="U92" s="144"/>
      <c r="V92" s="146"/>
      <c r="W92" s="146"/>
      <c r="X92" s="127"/>
      <c r="Y92" s="127"/>
      <c r="Z92" s="126"/>
      <c r="AA92" s="129"/>
      <c r="AB92" s="129"/>
      <c r="AC92" s="129"/>
      <c r="AD92" s="130"/>
      <c r="AE92" s="48"/>
      <c r="AF92" s="129"/>
      <c r="AG92" s="127"/>
      <c r="AH92" s="126"/>
      <c r="AI92" s="127"/>
      <c r="AJ92" s="127"/>
    </row>
    <row r="93" spans="1:37" s="49" customFormat="1" ht="42.75" hidden="1" customHeight="1" thickTop="1">
      <c r="D93" s="115"/>
      <c r="F93" s="116"/>
      <c r="G93" s="418"/>
      <c r="H93" s="418"/>
      <c r="I93" s="295"/>
      <c r="J93" s="127"/>
      <c r="K93" s="295"/>
      <c r="L93" s="127"/>
      <c r="M93" s="127"/>
      <c r="N93" s="127"/>
      <c r="O93" s="127"/>
      <c r="P93" s="127"/>
      <c r="Q93" s="144"/>
      <c r="R93" s="145"/>
      <c r="S93" s="144"/>
      <c r="T93" s="144"/>
      <c r="U93" s="144"/>
      <c r="V93" s="146"/>
      <c r="W93" s="146"/>
      <c r="X93" s="127"/>
      <c r="Y93" s="127"/>
      <c r="Z93" s="126"/>
      <c r="AA93" s="130"/>
      <c r="AB93" s="130"/>
      <c r="AC93" s="130"/>
      <c r="AD93" s="130"/>
      <c r="AE93" s="48"/>
      <c r="AF93" s="130"/>
      <c r="AG93" s="127"/>
      <c r="AH93" s="126"/>
      <c r="AI93" s="127"/>
      <c r="AJ93" s="127"/>
    </row>
    <row r="94" spans="1:37" s="49" customFormat="1" ht="15.75" hidden="1">
      <c r="D94" s="115"/>
      <c r="F94" s="116"/>
      <c r="G94" s="418"/>
      <c r="H94" s="418"/>
      <c r="I94" s="295"/>
      <c r="J94" s="127"/>
      <c r="K94" s="295"/>
      <c r="L94" s="127"/>
      <c r="M94" s="127"/>
      <c r="N94" s="127"/>
      <c r="O94" s="127"/>
      <c r="P94" s="127"/>
      <c r="Q94" s="144"/>
      <c r="R94" s="145"/>
      <c r="S94" s="144"/>
      <c r="T94" s="144"/>
      <c r="U94" s="144"/>
      <c r="V94" s="146"/>
      <c r="W94" s="146"/>
      <c r="X94" s="127"/>
      <c r="Y94" s="127"/>
      <c r="Z94" s="126"/>
      <c r="AA94" s="130"/>
      <c r="AB94" s="130"/>
      <c r="AC94" s="130"/>
      <c r="AD94" s="130"/>
      <c r="AE94" s="48"/>
      <c r="AF94" s="130"/>
      <c r="AG94" s="127"/>
      <c r="AH94" s="126"/>
      <c r="AI94" s="127"/>
      <c r="AJ94" s="127"/>
    </row>
    <row r="95" spans="1:37" s="49" customFormat="1" ht="16.5" hidden="1" thickBot="1">
      <c r="B95" s="103"/>
      <c r="C95" s="103" t="s">
        <v>145</v>
      </c>
      <c r="D95" s="257" t="s">
        <v>138</v>
      </c>
      <c r="E95" s="185"/>
      <c r="F95" s="179" t="s">
        <v>108</v>
      </c>
      <c r="G95" s="185"/>
      <c r="H95" s="137"/>
      <c r="I95" s="199"/>
      <c r="J95" s="139"/>
      <c r="K95" s="199">
        <v>0</v>
      </c>
      <c r="L95" s="138"/>
      <c r="M95" s="138"/>
      <c r="N95" s="138"/>
      <c r="O95" s="138">
        <v>0</v>
      </c>
      <c r="P95" s="138"/>
      <c r="Q95" s="139">
        <f>ROUND((J95+K95+L95+M95+N95)/12,2)</f>
        <v>0</v>
      </c>
      <c r="R95" s="139">
        <v>0</v>
      </c>
      <c r="S95" s="139">
        <f>SUM(J95:R95)</f>
        <v>0</v>
      </c>
      <c r="T95" s="139"/>
      <c r="U95" s="139"/>
      <c r="V95" s="140"/>
      <c r="W95" s="140"/>
      <c r="X95" s="140"/>
      <c r="Y95" s="140"/>
      <c r="Z95" s="141"/>
      <c r="AA95" s="129"/>
      <c r="AB95" s="129"/>
      <c r="AC95" s="129"/>
      <c r="AD95" s="129"/>
      <c r="AE95" s="142"/>
      <c r="AF95" s="129"/>
      <c r="AG95" s="140"/>
      <c r="AH95" s="141"/>
      <c r="AI95" s="140"/>
      <c r="AJ95" s="140"/>
    </row>
    <row r="96" spans="1:37" s="49" customFormat="1" ht="17.25" hidden="1" thickTop="1" thickBot="1">
      <c r="D96" s="115"/>
      <c r="F96" s="116"/>
      <c r="G96" s="418"/>
      <c r="H96" s="117">
        <f>SUM(H95:H95)</f>
        <v>0</v>
      </c>
      <c r="I96" s="573"/>
      <c r="J96" s="117">
        <f t="shared" ref="J96:T96" si="24">SUM(J95:J95)</f>
        <v>0</v>
      </c>
      <c r="K96" s="573">
        <f t="shared" si="24"/>
        <v>0</v>
      </c>
      <c r="L96" s="117">
        <f t="shared" si="24"/>
        <v>0</v>
      </c>
      <c r="M96" s="117">
        <f t="shared" si="24"/>
        <v>0</v>
      </c>
      <c r="N96" s="117">
        <f t="shared" si="24"/>
        <v>0</v>
      </c>
      <c r="O96" s="117">
        <f t="shared" si="24"/>
        <v>0</v>
      </c>
      <c r="P96" s="117">
        <f t="shared" si="24"/>
        <v>0</v>
      </c>
      <c r="Q96" s="118">
        <f t="shared" si="24"/>
        <v>0</v>
      </c>
      <c r="R96" s="118">
        <f t="shared" si="24"/>
        <v>0</v>
      </c>
      <c r="S96" s="118">
        <f t="shared" si="24"/>
        <v>0</v>
      </c>
      <c r="T96" s="118">
        <f t="shared" si="24"/>
        <v>0</v>
      </c>
      <c r="U96" s="119"/>
      <c r="V96" s="120">
        <f>S96+T96-R96</f>
        <v>0</v>
      </c>
      <c r="W96" s="120">
        <f>S96-R96</f>
        <v>0</v>
      </c>
      <c r="X96" s="120">
        <f>S96+T96-R96</f>
        <v>0</v>
      </c>
      <c r="Y96" s="120">
        <f>W96+X96-V96</f>
        <v>0</v>
      </c>
      <c r="Z96" s="120">
        <f>S96+T96-R96</f>
        <v>0</v>
      </c>
      <c r="AA96" s="143">
        <f>ROUND((V96*23.8%),0)</f>
        <v>0</v>
      </c>
      <c r="AB96" s="120">
        <f>ROUND((W96*2.88%),0)</f>
        <v>0</v>
      </c>
      <c r="AC96" s="120">
        <v>0</v>
      </c>
      <c r="AD96" s="121">
        <f>ROUND((X96*0.5%),0)</f>
        <v>0</v>
      </c>
      <c r="AE96" s="121">
        <f>ROUND((Y96*1.61%),0)</f>
        <v>0</v>
      </c>
      <c r="AF96" s="120">
        <f>SUM(AA96:AE96)</f>
        <v>0</v>
      </c>
      <c r="AG96" s="122">
        <f>ROUND((V96*8.5%),0)</f>
        <v>0</v>
      </c>
      <c r="AH96" s="121">
        <f>SUM(AH95:AH95)</f>
        <v>0</v>
      </c>
      <c r="AI96" s="121">
        <f>S96-R96+T96-AA97-AB97-AC97</f>
        <v>0</v>
      </c>
      <c r="AJ96" s="121">
        <f>ROUND((S96+T96-R96-AA97-AB97-AC97)*29%,0)</f>
        <v>0</v>
      </c>
    </row>
    <row r="97" spans="1:36" s="49" customFormat="1" ht="17.25" thickTop="1" thickBot="1">
      <c r="D97" s="115"/>
      <c r="F97" s="116"/>
      <c r="G97" s="418"/>
      <c r="H97" s="418"/>
      <c r="I97" s="295"/>
      <c r="J97" s="127"/>
      <c r="K97" s="295"/>
      <c r="L97" s="127"/>
      <c r="M97" s="127"/>
      <c r="N97" s="127"/>
      <c r="O97" s="127"/>
      <c r="P97" s="127"/>
      <c r="Q97" s="144"/>
      <c r="R97" s="145"/>
      <c r="S97" s="144"/>
      <c r="T97" s="144"/>
      <c r="U97" s="144"/>
      <c r="V97" s="146"/>
      <c r="W97" s="146"/>
      <c r="X97" s="127"/>
      <c r="Y97" s="127"/>
      <c r="Z97" s="126"/>
      <c r="AA97" s="129"/>
      <c r="AB97" s="129"/>
      <c r="AC97" s="129"/>
      <c r="AD97" s="130"/>
      <c r="AE97" s="48"/>
      <c r="AF97" s="129"/>
      <c r="AG97" s="127"/>
      <c r="AH97" s="126"/>
      <c r="AI97" s="127"/>
      <c r="AJ97" s="127"/>
    </row>
    <row r="98" spans="1:36" s="49" customFormat="1" ht="16.5" hidden="1" thickTop="1">
      <c r="D98" s="115"/>
      <c r="F98" s="116"/>
      <c r="G98" s="418"/>
      <c r="H98" s="418"/>
      <c r="I98" s="295"/>
      <c r="J98" s="127"/>
      <c r="K98" s="295"/>
      <c r="L98" s="127"/>
      <c r="M98" s="127"/>
      <c r="N98" s="127"/>
      <c r="O98" s="127"/>
      <c r="P98" s="127"/>
      <c r="Q98" s="144"/>
      <c r="R98" s="145"/>
      <c r="S98" s="144"/>
      <c r="T98" s="144"/>
      <c r="U98" s="144"/>
      <c r="V98" s="146"/>
      <c r="W98" s="146"/>
      <c r="X98" s="127"/>
      <c r="Y98" s="127"/>
      <c r="Z98" s="126"/>
      <c r="AA98" s="130"/>
      <c r="AB98" s="130"/>
      <c r="AC98" s="130"/>
      <c r="AD98" s="130"/>
      <c r="AE98" s="48"/>
      <c r="AF98" s="130"/>
      <c r="AG98" s="127"/>
      <c r="AH98" s="126"/>
      <c r="AI98" s="127"/>
      <c r="AJ98" s="127"/>
    </row>
    <row r="99" spans="1:36" s="49" customFormat="1" ht="15.75" hidden="1">
      <c r="D99" s="115"/>
      <c r="F99" s="116"/>
      <c r="G99" s="418"/>
      <c r="H99" s="418"/>
      <c r="I99" s="295"/>
      <c r="J99" s="159"/>
      <c r="K99" s="295"/>
      <c r="L99" s="127"/>
      <c r="M99" s="127"/>
      <c r="N99" s="127"/>
      <c r="O99" s="127"/>
      <c r="P99" s="127"/>
      <c r="Q99" s="144"/>
      <c r="R99" s="145"/>
      <c r="S99" s="144"/>
      <c r="T99" s="144"/>
      <c r="U99" s="144"/>
      <c r="V99" s="146"/>
      <c r="W99" s="146"/>
      <c r="X99" s="127"/>
      <c r="Y99" s="127"/>
      <c r="Z99" s="126"/>
      <c r="AA99" s="130"/>
      <c r="AB99" s="130"/>
      <c r="AC99" s="130"/>
      <c r="AD99" s="130"/>
      <c r="AE99" s="48"/>
      <c r="AF99" s="130"/>
      <c r="AG99" s="127"/>
      <c r="AH99" s="126"/>
      <c r="AI99" s="127"/>
      <c r="AJ99" s="127"/>
    </row>
    <row r="100" spans="1:36" s="49" customFormat="1" ht="15.75" thickTop="1">
      <c r="A100" s="1002" t="s">
        <v>495</v>
      </c>
      <c r="B100" s="64">
        <v>32</v>
      </c>
      <c r="C100" s="64" t="s">
        <v>146</v>
      </c>
      <c r="D100" s="189" t="s">
        <v>147</v>
      </c>
      <c r="E100" s="66" t="s">
        <v>66</v>
      </c>
      <c r="F100" s="67"/>
      <c r="G100" s="66" t="s">
        <v>148</v>
      </c>
      <c r="H100" s="68">
        <v>0</v>
      </c>
      <c r="I100" s="201">
        <f>'CALCOLO VAC. E PEREQ 2020'!S25</f>
        <v>149.11000000000001</v>
      </c>
      <c r="J100" s="70">
        <f>1639.16*12</f>
        <v>19669.920000000002</v>
      </c>
      <c r="K100" s="201">
        <f>'CALCOLO VAC. E PEREQ 2020'!AE25</f>
        <v>276</v>
      </c>
      <c r="L100" s="70">
        <v>0</v>
      </c>
      <c r="M100" s="70"/>
      <c r="N100" s="70"/>
      <c r="O100" s="70"/>
      <c r="P100" s="70">
        <f>(39.31*12)</f>
        <v>471.72</v>
      </c>
      <c r="Q100" s="71">
        <f>ROUND((I100+J100+L100+M100+N100)/12,2)</f>
        <v>1651.59</v>
      </c>
      <c r="R100" s="71">
        <v>0</v>
      </c>
      <c r="S100" s="71">
        <f>SUM(I100:R100)</f>
        <v>22218.340000000004</v>
      </c>
      <c r="T100" s="71"/>
      <c r="U100" s="258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60"/>
      <c r="AI100" s="259"/>
      <c r="AJ100" s="261"/>
    </row>
    <row r="101" spans="1:36" s="49" customFormat="1" ht="15.75" thickBot="1">
      <c r="A101" s="1002"/>
      <c r="B101" s="103">
        <v>33</v>
      </c>
      <c r="C101" s="262" t="s">
        <v>149</v>
      </c>
      <c r="D101" s="263"/>
      <c r="E101" s="264" t="s">
        <v>66</v>
      </c>
      <c r="F101" s="107"/>
      <c r="G101" s="264" t="s">
        <v>148</v>
      </c>
      <c r="H101" s="137">
        <v>0</v>
      </c>
      <c r="I101" s="201">
        <f>'CALCOLO VAC. E PEREQ 2020'!S24</f>
        <v>149.11000000000001</v>
      </c>
      <c r="J101" s="70">
        <f>1639.16*12</f>
        <v>19669.920000000002</v>
      </c>
      <c r="K101" s="201">
        <f>'CALCOLO VAC. E PEREQ 2020'!AE24</f>
        <v>276</v>
      </c>
      <c r="L101" s="138">
        <v>0</v>
      </c>
      <c r="M101" s="138"/>
      <c r="N101" s="138"/>
      <c r="O101" s="138"/>
      <c r="P101" s="138">
        <f>(39.31*12)</f>
        <v>471.72</v>
      </c>
      <c r="Q101" s="71">
        <f>ROUND((I101+J101+L101+M101+N101)/12,2)</f>
        <v>1651.59</v>
      </c>
      <c r="R101" s="139">
        <v>0</v>
      </c>
      <c r="S101" s="139">
        <f>SUM(I101:R101)</f>
        <v>22218.340000000004</v>
      </c>
      <c r="T101" s="139">
        <v>0</v>
      </c>
      <c r="U101" s="265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7"/>
      <c r="AI101" s="266"/>
      <c r="AJ101" s="181"/>
    </row>
    <row r="102" spans="1:36" s="49" customFormat="1" ht="17.25" thickTop="1" thickBot="1">
      <c r="D102" s="115"/>
      <c r="F102" s="116"/>
      <c r="H102" s="120">
        <f t="shared" ref="H102:T102" si="25">SUM(H100:H101)</f>
        <v>0</v>
      </c>
      <c r="I102" s="570">
        <f t="shared" si="25"/>
        <v>298.22000000000003</v>
      </c>
      <c r="J102" s="120">
        <f t="shared" si="25"/>
        <v>39339.840000000004</v>
      </c>
      <c r="K102" s="570">
        <f>SUM(K100:K101)</f>
        <v>552</v>
      </c>
      <c r="L102" s="120">
        <f t="shared" si="25"/>
        <v>0</v>
      </c>
      <c r="M102" s="120">
        <f t="shared" si="25"/>
        <v>0</v>
      </c>
      <c r="N102" s="120">
        <f t="shared" si="25"/>
        <v>0</v>
      </c>
      <c r="O102" s="120">
        <f t="shared" si="25"/>
        <v>0</v>
      </c>
      <c r="P102" s="120">
        <f t="shared" si="25"/>
        <v>943.44</v>
      </c>
      <c r="Q102" s="119">
        <f>SUM(Q100:Q101)</f>
        <v>3303.18</v>
      </c>
      <c r="R102" s="119">
        <f t="shared" si="25"/>
        <v>0</v>
      </c>
      <c r="S102" s="119">
        <f t="shared" si="25"/>
        <v>44436.680000000008</v>
      </c>
      <c r="T102" s="119">
        <f t="shared" si="25"/>
        <v>0</v>
      </c>
      <c r="U102" s="119"/>
      <c r="V102" s="120">
        <f>S102+T102-R102</f>
        <v>44436.680000000008</v>
      </c>
      <c r="W102" s="120">
        <f>S102-P102-R102-K102</f>
        <v>42941.240000000005</v>
      </c>
      <c r="X102" s="120">
        <f>S102+T102-R102</f>
        <v>44436.680000000008</v>
      </c>
      <c r="Y102" s="120">
        <v>0</v>
      </c>
      <c r="Z102" s="120">
        <f>S102+T102-R102</f>
        <v>44436.680000000008</v>
      </c>
      <c r="AA102" s="120">
        <f>ROUND((V102*23.8%),0)</f>
        <v>10576</v>
      </c>
      <c r="AB102" s="120">
        <f>ROUND((W102*2.88%),0)</f>
        <v>1237</v>
      </c>
      <c r="AC102" s="120">
        <v>0</v>
      </c>
      <c r="AD102" s="121">
        <f>ROUND((X102*1.4%),0)</f>
        <v>622</v>
      </c>
      <c r="AE102" s="121">
        <v>0</v>
      </c>
      <c r="AF102" s="120">
        <f>SUM(AA102:AE102)</f>
        <v>12435</v>
      </c>
      <c r="AG102" s="122">
        <f>ROUND((V102*8.5%),0)</f>
        <v>3777</v>
      </c>
      <c r="AH102" s="121">
        <f>SUM(AH100:AH101)</f>
        <v>0</v>
      </c>
      <c r="AI102" s="122">
        <f>S102-R102+T102-AA103-AB103-AC103</f>
        <v>44436.680000000008</v>
      </c>
      <c r="AJ102" s="121">
        <f>ROUND((S102+T102-R102-AA103-AB103-AC103)*29%,0)</f>
        <v>12887</v>
      </c>
    </row>
    <row r="103" spans="1:36" s="49" customFormat="1" ht="17.25" thickTop="1" thickBot="1">
      <c r="D103" s="115"/>
      <c r="F103" s="116"/>
      <c r="I103" s="602"/>
      <c r="J103" s="126"/>
      <c r="K103" s="602"/>
      <c r="L103" s="126"/>
      <c r="M103" s="126"/>
      <c r="N103" s="126"/>
      <c r="O103" s="126"/>
      <c r="P103" s="126"/>
      <c r="Q103" s="125"/>
      <c r="R103" s="125"/>
      <c r="S103" s="125"/>
      <c r="T103" s="125"/>
      <c r="U103" s="125"/>
      <c r="V103" s="123"/>
      <c r="W103" s="123"/>
      <c r="X103" s="127"/>
      <c r="Y103" s="127"/>
      <c r="Z103" s="126"/>
      <c r="AA103" s="129"/>
      <c r="AB103" s="121"/>
      <c r="AC103" s="129"/>
      <c r="AD103" s="130"/>
      <c r="AE103" s="48"/>
      <c r="AF103" s="121"/>
      <c r="AG103" s="127"/>
      <c r="AH103" s="126"/>
      <c r="AI103" s="126"/>
      <c r="AJ103" s="126"/>
    </row>
    <row r="104" spans="1:36" s="622" customFormat="1" ht="31.5" thickTop="1">
      <c r="A104" s="621" t="s">
        <v>496</v>
      </c>
      <c r="B104" s="622">
        <v>34</v>
      </c>
      <c r="C104" s="594" t="s">
        <v>580</v>
      </c>
      <c r="G104" s="622" t="s">
        <v>121</v>
      </c>
      <c r="I104" s="623">
        <v>0</v>
      </c>
      <c r="J104" s="622">
        <v>0</v>
      </c>
      <c r="K104" s="624">
        <v>0</v>
      </c>
      <c r="P104" s="622">
        <v>0</v>
      </c>
      <c r="Q104" s="624">
        <f t="shared" ref="Q104" si="26">ROUND((I104+J104+L104+M104+N104)/12,2)</f>
        <v>0</v>
      </c>
      <c r="S104" s="625">
        <f>SUM(I104:R104)</f>
        <v>0</v>
      </c>
      <c r="T104" s="623"/>
      <c r="U104" s="626"/>
      <c r="V104" s="627"/>
      <c r="W104" s="627"/>
      <c r="X104" s="627"/>
      <c r="Y104" s="627"/>
      <c r="Z104" s="627"/>
      <c r="AA104" s="627"/>
      <c r="AB104" s="627"/>
      <c r="AC104" s="627"/>
      <c r="AD104" s="627"/>
      <c r="AE104" s="627"/>
      <c r="AF104" s="627"/>
      <c r="AG104" s="627"/>
      <c r="AH104" s="623"/>
      <c r="AI104" s="627"/>
      <c r="AJ104" s="627"/>
    </row>
    <row r="105" spans="1:36" s="49" customFormat="1" ht="15.75">
      <c r="D105" s="115"/>
      <c r="F105" s="116"/>
      <c r="I105" s="602"/>
      <c r="J105" s="126"/>
      <c r="K105" s="602"/>
      <c r="L105" s="126"/>
      <c r="M105" s="126"/>
      <c r="N105" s="126"/>
      <c r="O105" s="126"/>
      <c r="P105" s="126"/>
      <c r="Q105" s="125"/>
      <c r="R105" s="125"/>
      <c r="S105" s="125"/>
      <c r="T105" s="125"/>
      <c r="U105" s="125"/>
      <c r="V105" s="123"/>
      <c r="W105" s="123"/>
      <c r="X105" s="127"/>
      <c r="Y105" s="127"/>
      <c r="Z105" s="126"/>
      <c r="AA105" s="130"/>
      <c r="AB105" s="130"/>
      <c r="AC105" s="130"/>
      <c r="AD105" s="130"/>
      <c r="AE105" s="48"/>
      <c r="AF105" s="130"/>
      <c r="AG105" s="127"/>
      <c r="AH105" s="126"/>
      <c r="AI105" s="126"/>
      <c r="AJ105" s="126"/>
    </row>
    <row r="106" spans="1:36" s="236" customFormat="1" hidden="1">
      <c r="D106" s="269"/>
      <c r="E106" s="270" t="s">
        <v>66</v>
      </c>
      <c r="F106" s="271"/>
      <c r="G106" s="270"/>
      <c r="H106" s="272">
        <f>(J106+K106+P106+Q106)*3%</f>
        <v>0</v>
      </c>
      <c r="I106" s="201">
        <v>0</v>
      </c>
      <c r="J106" s="273">
        <v>0</v>
      </c>
      <c r="K106" s="201"/>
      <c r="L106" s="273"/>
      <c r="M106" s="273"/>
      <c r="N106" s="273"/>
      <c r="O106" s="273"/>
      <c r="P106" s="273">
        <v>0</v>
      </c>
      <c r="Q106" s="273">
        <f>ROUND((I106+J106+K106+L106+M106+N106)/12,2)</f>
        <v>0</v>
      </c>
      <c r="R106" s="273"/>
      <c r="S106" s="273">
        <f>SUM(I106:R106)</f>
        <v>0</v>
      </c>
      <c r="T106" s="273"/>
      <c r="U106" s="237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3"/>
      <c r="AI106" s="274"/>
      <c r="AJ106" s="274"/>
    </row>
    <row r="107" spans="1:36" s="49" customFormat="1" ht="16.5" hidden="1" thickBot="1">
      <c r="D107" s="115"/>
      <c r="E107" s="418"/>
      <c r="F107" s="116"/>
      <c r="G107" s="418"/>
      <c r="H107" s="120">
        <f t="shared" ref="H107:I107" si="27">SUM(H104:H106)</f>
        <v>0</v>
      </c>
      <c r="I107" s="120">
        <f t="shared" si="27"/>
        <v>0</v>
      </c>
      <c r="J107" s="120">
        <f>SUM(J104:J106)</f>
        <v>0</v>
      </c>
      <c r="K107" s="120">
        <f t="shared" ref="K107:R107" si="28">SUM(K104:K106)</f>
        <v>0</v>
      </c>
      <c r="L107" s="120">
        <f t="shared" si="28"/>
        <v>0</v>
      </c>
      <c r="M107" s="120">
        <f t="shared" si="28"/>
        <v>0</v>
      </c>
      <c r="N107" s="120">
        <f t="shared" si="28"/>
        <v>0</v>
      </c>
      <c r="O107" s="120">
        <f t="shared" si="28"/>
        <v>0</v>
      </c>
      <c r="P107" s="120">
        <f t="shared" si="28"/>
        <v>0</v>
      </c>
      <c r="Q107" s="120">
        <f t="shared" si="28"/>
        <v>0</v>
      </c>
      <c r="R107" s="120">
        <f t="shared" si="28"/>
        <v>0</v>
      </c>
      <c r="S107" s="119">
        <f>SUM(S104:S106)</f>
        <v>0</v>
      </c>
      <c r="T107" s="119">
        <f>SUM(T106:T106)</f>
        <v>0</v>
      </c>
      <c r="U107" s="119"/>
      <c r="V107" s="120">
        <f>S107+T107-R107</f>
        <v>0</v>
      </c>
      <c r="W107" s="120">
        <f>S107-P107-R107-K107</f>
        <v>0</v>
      </c>
      <c r="X107" s="120">
        <f>S107+T107-R107</f>
        <v>0</v>
      </c>
      <c r="Y107" s="120">
        <v>0</v>
      </c>
      <c r="Z107" s="120">
        <f>S107+T107-R107</f>
        <v>0</v>
      </c>
      <c r="AA107" s="120">
        <f>ROUND((V107*23.8%),0)</f>
        <v>0</v>
      </c>
      <c r="AB107" s="120">
        <f>ROUND((W107*2.88%),0)</f>
        <v>0</v>
      </c>
      <c r="AC107" s="120">
        <v>0</v>
      </c>
      <c r="AD107" s="122">
        <f>ROUND((X107*0.5%),0)</f>
        <v>0</v>
      </c>
      <c r="AE107" s="122">
        <f>ROUND(Y107*1.61%,0)</f>
        <v>0</v>
      </c>
      <c r="AF107" s="120">
        <f>SUM(AA107:AE107)</f>
        <v>0</v>
      </c>
      <c r="AG107" s="121">
        <f>ROUND((V107*8.5%),0)</f>
        <v>0</v>
      </c>
      <c r="AH107" s="122">
        <f>SUM(AH106:AH106)</f>
        <v>0</v>
      </c>
      <c r="AI107" s="121">
        <f>S107-R107+T107-AA108-AB108-AC108</f>
        <v>0</v>
      </c>
      <c r="AJ107" s="121">
        <f>ROUND((S107+T107-R107-AA108-AB108-AC108)*29%,0)</f>
        <v>0</v>
      </c>
    </row>
    <row r="108" spans="1:36" s="49" customFormat="1" ht="17.25" hidden="1" thickTop="1" thickBot="1">
      <c r="D108" s="115"/>
      <c r="E108" s="418"/>
      <c r="F108" s="116"/>
      <c r="G108" s="418"/>
      <c r="H108" s="187"/>
      <c r="I108" s="603"/>
      <c r="J108" s="131"/>
      <c r="K108" s="603"/>
      <c r="L108" s="131"/>
      <c r="M108" s="131"/>
      <c r="N108" s="131"/>
      <c r="O108" s="131"/>
      <c r="P108" s="131"/>
      <c r="Q108" s="188"/>
      <c r="R108" s="188"/>
      <c r="S108" s="188"/>
      <c r="T108" s="188"/>
      <c r="U108" s="188"/>
      <c r="V108" s="126"/>
      <c r="W108" s="126"/>
      <c r="X108" s="126"/>
      <c r="Y108" s="126"/>
      <c r="Z108" s="183"/>
      <c r="AA108" s="129"/>
      <c r="AB108" s="129"/>
      <c r="AC108" s="129"/>
      <c r="AD108" s="130"/>
      <c r="AE108" s="48"/>
      <c r="AF108" s="129"/>
      <c r="AG108" s="130"/>
      <c r="AH108" s="130"/>
      <c r="AI108" s="126"/>
      <c r="AJ108" s="126"/>
    </row>
    <row r="109" spans="1:36" s="49" customFormat="1" ht="16.5" hidden="1" thickTop="1">
      <c r="D109" s="115"/>
      <c r="F109" s="116"/>
      <c r="I109" s="602"/>
      <c r="J109" s="126"/>
      <c r="K109" s="602"/>
      <c r="L109" s="126"/>
      <c r="M109" s="126"/>
      <c r="N109" s="126"/>
      <c r="O109" s="126"/>
      <c r="P109" s="126"/>
      <c r="Q109" s="125"/>
      <c r="R109" s="125"/>
      <c r="S109" s="125"/>
      <c r="T109" s="125"/>
      <c r="U109" s="125"/>
      <c r="V109" s="126"/>
      <c r="W109" s="126"/>
      <c r="X109" s="126"/>
      <c r="Y109" s="126"/>
      <c r="Z109" s="126"/>
      <c r="AA109" s="126"/>
      <c r="AB109" s="126"/>
      <c r="AC109" s="126"/>
      <c r="AD109" s="48"/>
      <c r="AE109" s="48"/>
      <c r="AF109" s="126"/>
      <c r="AG109" s="127"/>
      <c r="AH109" s="126"/>
      <c r="AI109" s="126"/>
      <c r="AJ109" s="126"/>
    </row>
    <row r="110" spans="1:36" s="49" customFormat="1" ht="16.5" hidden="1" thickTop="1">
      <c r="D110" s="115"/>
      <c r="F110" s="116"/>
      <c r="I110" s="602"/>
      <c r="J110" s="126"/>
      <c r="K110" s="602"/>
      <c r="L110" s="126"/>
      <c r="M110" s="126"/>
      <c r="N110" s="126"/>
      <c r="O110" s="126"/>
      <c r="P110" s="126"/>
      <c r="Q110" s="125"/>
      <c r="R110" s="125"/>
      <c r="S110" s="125"/>
      <c r="T110" s="125"/>
      <c r="U110" s="125"/>
      <c r="V110" s="123"/>
      <c r="W110" s="123"/>
      <c r="X110" s="127"/>
      <c r="Y110" s="127"/>
      <c r="Z110" s="126"/>
      <c r="AA110" s="130"/>
      <c r="AB110" s="130"/>
      <c r="AC110" s="130"/>
      <c r="AD110" s="130"/>
      <c r="AE110" s="48"/>
      <c r="AF110" s="130"/>
      <c r="AG110" s="127"/>
      <c r="AH110" s="249"/>
      <c r="AI110" s="126"/>
      <c r="AJ110" s="126"/>
    </row>
    <row r="111" spans="1:36" s="49" customFormat="1">
      <c r="B111" s="64">
        <v>35</v>
      </c>
      <c r="C111" s="64" t="s">
        <v>150</v>
      </c>
      <c r="D111" s="189" t="s">
        <v>151</v>
      </c>
      <c r="E111" s="66" t="s">
        <v>66</v>
      </c>
      <c r="F111" s="67"/>
      <c r="G111" s="66" t="s">
        <v>139</v>
      </c>
      <c r="H111" s="68">
        <v>0</v>
      </c>
      <c r="I111" s="201">
        <f>'CALCOLO VAC. E PEREQ 2020'!S97</f>
        <v>201.24</v>
      </c>
      <c r="J111" s="70">
        <f>2211.57*12</f>
        <v>26538.840000000004</v>
      </c>
      <c r="K111" s="201">
        <f>'CALCOLO VAC. E PEREQ 2020'!AE97</f>
        <v>72</v>
      </c>
      <c r="L111" s="70">
        <f>(12.87+13.43)*12</f>
        <v>315.59999999999997</v>
      </c>
      <c r="M111" s="70"/>
      <c r="N111" s="70"/>
      <c r="O111" s="70">
        <f>92.57*12</f>
        <v>1110.8399999999999</v>
      </c>
      <c r="P111" s="70">
        <f>(51.9*12)</f>
        <v>622.79999999999995</v>
      </c>
      <c r="Q111" s="71">
        <f>ROUND((I111+J111+L111+M111+N111)/12,2)</f>
        <v>2254.64</v>
      </c>
      <c r="R111" s="71"/>
      <c r="S111" s="71">
        <f>SUM(I111:R111)</f>
        <v>31115.960000000003</v>
      </c>
      <c r="T111" s="71"/>
      <c r="U111" s="72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59"/>
      <c r="AH111" s="74">
        <f>16.23*12</f>
        <v>194.76</v>
      </c>
      <c r="AI111" s="275"/>
      <c r="AJ111" s="261"/>
    </row>
    <row r="112" spans="1:36" s="49" customFormat="1">
      <c r="B112" s="64">
        <v>36</v>
      </c>
      <c r="C112" s="64" t="s">
        <v>152</v>
      </c>
      <c r="D112" s="75"/>
      <c r="E112" s="66" t="s">
        <v>66</v>
      </c>
      <c r="F112" s="67"/>
      <c r="G112" s="66" t="s">
        <v>99</v>
      </c>
      <c r="H112" s="68">
        <v>0</v>
      </c>
      <c r="I112" s="100">
        <f>'CALCOLO VAC. E PEREQ 2020'!S75</f>
        <v>173.68</v>
      </c>
      <c r="J112" s="69">
        <f>1908.6*12</f>
        <v>22903.199999999997</v>
      </c>
      <c r="K112" s="100">
        <f>'CALCOLO VAC. E PEREQ 2020'!AE75</f>
        <v>204</v>
      </c>
      <c r="L112" s="70">
        <v>0</v>
      </c>
      <c r="M112" s="70"/>
      <c r="N112" s="70"/>
      <c r="O112" s="70">
        <f>92.57*12</f>
        <v>1110.8399999999999</v>
      </c>
      <c r="P112" s="70">
        <f>(45.8*12)</f>
        <v>549.59999999999991</v>
      </c>
      <c r="Q112" s="71">
        <f t="shared" ref="Q112:Q126" si="29">ROUND((I112+J112+L112+M112+N112)/12,2)</f>
        <v>1923.07</v>
      </c>
      <c r="R112" s="71"/>
      <c r="S112" s="71">
        <f t="shared" ref="S112:S122" si="30">SUM(I112:R112)</f>
        <v>26864.389999999996</v>
      </c>
      <c r="T112" s="71"/>
      <c r="U112" s="77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276">
        <f>113.81*9</f>
        <v>1024.29</v>
      </c>
      <c r="AI112" s="128"/>
      <c r="AJ112" s="166"/>
    </row>
    <row r="113" spans="1:38" s="49" customFormat="1">
      <c r="B113" s="64">
        <v>37</v>
      </c>
      <c r="C113" s="64" t="s">
        <v>153</v>
      </c>
      <c r="D113" s="75"/>
      <c r="E113" s="66" t="s">
        <v>66</v>
      </c>
      <c r="F113" s="67"/>
      <c r="G113" s="66" t="s">
        <v>139</v>
      </c>
      <c r="H113" s="68">
        <v>0</v>
      </c>
      <c r="I113" s="201">
        <f>'CALCOLO VAC. E PEREQ 2020'!S98</f>
        <v>201.24</v>
      </c>
      <c r="J113" s="70">
        <f>2211.57*12</f>
        <v>26538.840000000004</v>
      </c>
      <c r="K113" s="201">
        <f>'CALCOLO VAC. E PEREQ 2020'!AE98</f>
        <v>72</v>
      </c>
      <c r="L113" s="70">
        <f>20.7*12</f>
        <v>248.39999999999998</v>
      </c>
      <c r="M113" s="70"/>
      <c r="N113" s="70"/>
      <c r="O113" s="70">
        <f>(92.57*12)</f>
        <v>1110.8399999999999</v>
      </c>
      <c r="P113" s="70">
        <f>(51.9*12)</f>
        <v>622.79999999999995</v>
      </c>
      <c r="Q113" s="71">
        <f t="shared" si="29"/>
        <v>2249.04</v>
      </c>
      <c r="R113" s="71">
        <v>0</v>
      </c>
      <c r="S113" s="71">
        <f t="shared" si="30"/>
        <v>31043.160000000007</v>
      </c>
      <c r="T113" s="71"/>
      <c r="U113" s="77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276">
        <f>16.23*12</f>
        <v>194.76</v>
      </c>
      <c r="AI113" s="128"/>
      <c r="AJ113" s="166"/>
    </row>
    <row r="114" spans="1:38" s="49" customFormat="1" ht="15.75" thickBot="1">
      <c r="B114" s="223">
        <v>38</v>
      </c>
      <c r="C114" s="224" t="s">
        <v>216</v>
      </c>
      <c r="D114" s="232"/>
      <c r="E114" s="226"/>
      <c r="F114" s="252"/>
      <c r="G114" s="226" t="s">
        <v>2</v>
      </c>
      <c r="H114" s="228"/>
      <c r="I114" s="201">
        <f>'CALCOLO VAC. E PEREQ 2020'!S42</f>
        <v>154.31</v>
      </c>
      <c r="J114" s="199">
        <f>1695.34*12</f>
        <v>20344.079999999998</v>
      </c>
      <c r="K114" s="360">
        <f>'CALCOLO VAC. E PEREQ 2020'!AE42</f>
        <v>276</v>
      </c>
      <c r="L114" s="201">
        <v>0</v>
      </c>
      <c r="M114" s="201"/>
      <c r="N114" s="201"/>
      <c r="O114" s="201">
        <f>92.57*12</f>
        <v>1110.8399999999999</v>
      </c>
      <c r="P114" s="201">
        <f>(45.8*12)</f>
        <v>549.59999999999991</v>
      </c>
      <c r="Q114" s="71">
        <f t="shared" ref="Q114:Q116" si="31">ROUND((I114+J114+L114+M114+N114)/12,2)</f>
        <v>1708.2</v>
      </c>
      <c r="R114" s="201">
        <v>0</v>
      </c>
      <c r="S114" s="201">
        <f t="shared" ref="S114" si="32">SUM(I114:R114)</f>
        <v>24143.03</v>
      </c>
      <c r="T114" s="71"/>
      <c r="U114" s="77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276"/>
      <c r="AI114" s="128"/>
      <c r="AJ114" s="166"/>
    </row>
    <row r="115" spans="1:38" s="236" customFormat="1" ht="44.25" customHeight="1" thickTop="1" thickBot="1">
      <c r="A115" s="268"/>
      <c r="B115" s="223">
        <v>39</v>
      </c>
      <c r="C115" s="594" t="s">
        <v>715</v>
      </c>
      <c r="D115" s="676"/>
      <c r="E115" s="621"/>
      <c r="F115" s="677"/>
      <c r="G115" s="621" t="s">
        <v>2</v>
      </c>
      <c r="H115" s="678"/>
      <c r="I115" s="623">
        <f>'CALCOLO VAC. E PEREQ 2020'!S53</f>
        <v>141.45083333333332</v>
      </c>
      <c r="J115" s="665">
        <f>1695.34*11</f>
        <v>18648.739999999998</v>
      </c>
      <c r="K115" s="624">
        <f>'CALCOLO VAC. E PEREQ 2020'!AE53</f>
        <v>253</v>
      </c>
      <c r="L115" s="623">
        <v>0</v>
      </c>
      <c r="M115" s="623"/>
      <c r="N115" s="623"/>
      <c r="O115" s="623">
        <f>92.57*11</f>
        <v>1018.27</v>
      </c>
      <c r="P115" s="623">
        <f>(45.8*11)</f>
        <v>503.79999999999995</v>
      </c>
      <c r="Q115" s="623">
        <f>ROUND((I115+J115+L115+M115+N115)/11,2)</f>
        <v>1708.2</v>
      </c>
      <c r="R115" s="623">
        <v>0</v>
      </c>
      <c r="S115" s="623">
        <f>SUM(I115:R115)</f>
        <v>22273.460833333331</v>
      </c>
    </row>
    <row r="116" spans="1:38" s="102" customFormat="1" ht="15.75" hidden="1" thickTop="1">
      <c r="B116" s="223"/>
      <c r="C116" s="224"/>
      <c r="D116" s="232"/>
      <c r="E116" s="226" t="s">
        <v>66</v>
      </c>
      <c r="F116" s="252"/>
      <c r="G116" s="226"/>
      <c r="H116" s="228">
        <v>0</v>
      </c>
      <c r="I116" s="100"/>
      <c r="J116" s="100">
        <v>0</v>
      </c>
      <c r="K116" s="100"/>
      <c r="L116" s="201">
        <v>0</v>
      </c>
      <c r="M116" s="201"/>
      <c r="N116" s="201"/>
      <c r="O116" s="201">
        <v>0</v>
      </c>
      <c r="P116" s="201">
        <v>0</v>
      </c>
      <c r="Q116" s="71">
        <f t="shared" si="31"/>
        <v>0</v>
      </c>
      <c r="R116" s="201">
        <v>0</v>
      </c>
      <c r="S116" s="201">
        <v>0</v>
      </c>
      <c r="T116" s="201"/>
      <c r="U116" s="101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4"/>
      <c r="AI116" s="173"/>
      <c r="AJ116" s="172"/>
    </row>
    <row r="117" spans="1:38" s="102" customFormat="1" ht="32.25" customHeight="1" thickTop="1" thickBot="1">
      <c r="A117" s="928" t="s">
        <v>497</v>
      </c>
      <c r="B117" s="223">
        <v>40</v>
      </c>
      <c r="C117" s="594" t="s">
        <v>716</v>
      </c>
      <c r="D117" s="676"/>
      <c r="E117" s="621"/>
      <c r="F117" s="677"/>
      <c r="G117" s="621" t="s">
        <v>2</v>
      </c>
      <c r="H117" s="678"/>
      <c r="I117" s="623">
        <f>'CALCOLO VAC. E PEREQ 2020'!S56</f>
        <v>141.45083333333332</v>
      </c>
      <c r="J117" s="665">
        <f>1695.34*11</f>
        <v>18648.739999999998</v>
      </c>
      <c r="K117" s="624">
        <f>'CALCOLO VAC. E PEREQ 2020'!AE56</f>
        <v>253</v>
      </c>
      <c r="L117" s="623">
        <v>0</v>
      </c>
      <c r="M117" s="623"/>
      <c r="N117" s="623"/>
      <c r="O117" s="623">
        <f>92.57*11</f>
        <v>1018.27</v>
      </c>
      <c r="P117" s="623">
        <f>(45.8*11)</f>
        <v>503.79999999999995</v>
      </c>
      <c r="Q117" s="623">
        <f>ROUND((I117+J117+L117+M117+N117)/11,2)</f>
        <v>1708.2</v>
      </c>
      <c r="R117" s="623">
        <v>0</v>
      </c>
      <c r="S117" s="623">
        <f t="shared" ref="S117:S118" si="33">SUM(I117:R117)</f>
        <v>22273.460833333331</v>
      </c>
      <c r="T117" s="201"/>
      <c r="U117" s="201"/>
      <c r="V117" s="201"/>
      <c r="W117" s="277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01"/>
      <c r="AK117" s="278"/>
      <c r="AL117" s="278"/>
    </row>
    <row r="118" spans="1:38" s="102" customFormat="1" ht="15.75" hidden="1" customHeight="1" thickTop="1">
      <c r="A118" s="929"/>
      <c r="B118" s="223"/>
      <c r="C118" s="224"/>
      <c r="D118" s="232"/>
      <c r="E118" s="226" t="s">
        <v>66</v>
      </c>
      <c r="F118" s="252"/>
      <c r="G118" s="226"/>
      <c r="H118" s="228">
        <v>0</v>
      </c>
      <c r="I118" s="100"/>
      <c r="J118" s="100">
        <v>0</v>
      </c>
      <c r="K118" s="100"/>
      <c r="L118" s="201">
        <v>0</v>
      </c>
      <c r="M118" s="201"/>
      <c r="N118" s="201"/>
      <c r="O118" s="201">
        <v>0</v>
      </c>
      <c r="P118" s="623">
        <f t="shared" ref="P118" si="34">(45.8*11)</f>
        <v>503.79999999999995</v>
      </c>
      <c r="Q118" s="71">
        <f t="shared" si="29"/>
        <v>0</v>
      </c>
      <c r="R118" s="201">
        <v>0</v>
      </c>
      <c r="S118" s="201">
        <f t="shared" si="33"/>
        <v>503.79999999999995</v>
      </c>
      <c r="T118" s="201"/>
      <c r="U118" s="101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4"/>
      <c r="AI118" s="173"/>
      <c r="AJ118" s="172"/>
    </row>
    <row r="119" spans="1:38" s="102" customFormat="1" ht="46.5" thickTop="1" thickBot="1">
      <c r="A119" s="929"/>
      <c r="B119" s="223"/>
      <c r="C119" s="923" t="s">
        <v>738</v>
      </c>
      <c r="D119" s="232"/>
      <c r="E119" s="226"/>
      <c r="F119" s="252"/>
      <c r="G119" s="621" t="s">
        <v>2</v>
      </c>
      <c r="H119" s="228"/>
      <c r="I119" s="623">
        <f>'CALCOLO VAC. E PEREQ 2020'!S54</f>
        <v>102.87333333333333</v>
      </c>
      <c r="J119" s="665">
        <f>1695.34*8</f>
        <v>13562.72</v>
      </c>
      <c r="K119" s="624">
        <f>'CALCOLO VAC. E PEREQ 2020'!AE54</f>
        <v>184</v>
      </c>
      <c r="L119" s="623"/>
      <c r="M119" s="623"/>
      <c r="N119" s="623"/>
      <c r="O119" s="623">
        <f>92.57*8</f>
        <v>740.56</v>
      </c>
      <c r="P119" s="623">
        <f>(45.8*8)</f>
        <v>366.4</v>
      </c>
      <c r="Q119" s="623">
        <f>ROUND((I119+J119+L119+M119+N119)/8,2)</f>
        <v>1708.2</v>
      </c>
      <c r="R119" s="201">
        <v>0</v>
      </c>
      <c r="S119" s="623">
        <f>SUM(I119:R119)</f>
        <v>16664.75333333333</v>
      </c>
      <c r="T119" s="201"/>
      <c r="U119" s="101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4"/>
      <c r="AI119" s="173"/>
      <c r="AJ119" s="172"/>
    </row>
    <row r="120" spans="1:38" s="102" customFormat="1" ht="20.25" customHeight="1" thickTop="1" thickBot="1">
      <c r="A120" s="929"/>
      <c r="B120" s="223">
        <v>41</v>
      </c>
      <c r="C120" s="224" t="s">
        <v>217</v>
      </c>
      <c r="D120" s="232"/>
      <c r="E120" s="226"/>
      <c r="F120" s="252"/>
      <c r="G120" s="226" t="s">
        <v>2</v>
      </c>
      <c r="H120" s="228"/>
      <c r="I120" s="201">
        <f>'CALCOLO VAC. E PEREQ 2020'!S47</f>
        <v>154.31</v>
      </c>
      <c r="J120" s="199">
        <f>1695.34*12</f>
        <v>20344.079999999998</v>
      </c>
      <c r="K120" s="360">
        <f>'CALCOLO VAC. E PEREQ 2020'!AE47</f>
        <v>276</v>
      </c>
      <c r="L120" s="201">
        <v>0</v>
      </c>
      <c r="M120" s="201"/>
      <c r="N120" s="201"/>
      <c r="O120" s="201">
        <f>92.57*12</f>
        <v>1110.8399999999999</v>
      </c>
      <c r="P120" s="201">
        <f>(45.8*12)</f>
        <v>549.59999999999991</v>
      </c>
      <c r="Q120" s="71">
        <f t="shared" si="29"/>
        <v>1708.2</v>
      </c>
      <c r="R120" s="201">
        <v>0</v>
      </c>
      <c r="S120" s="201">
        <f t="shared" si="30"/>
        <v>24143.03</v>
      </c>
      <c r="T120" s="201"/>
      <c r="U120" s="201"/>
      <c r="V120" s="201"/>
      <c r="W120" s="277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01"/>
      <c r="AK120" s="278"/>
      <c r="AL120" s="278"/>
    </row>
    <row r="121" spans="1:38" s="49" customFormat="1" ht="15.75" thickTop="1">
      <c r="A121" s="929"/>
      <c r="B121" s="64">
        <v>42</v>
      </c>
      <c r="C121" s="223" t="s">
        <v>154</v>
      </c>
      <c r="D121" s="193"/>
      <c r="E121" s="76" t="s">
        <v>66</v>
      </c>
      <c r="F121" s="162"/>
      <c r="G121" s="76" t="s">
        <v>155</v>
      </c>
      <c r="H121" s="163"/>
      <c r="I121" s="201">
        <f>'CALCOLO VAC. E PEREQ 2020'!S102</f>
        <v>201.24</v>
      </c>
      <c r="J121" s="70">
        <f>2211.57*12</f>
        <v>26538.840000000004</v>
      </c>
      <c r="K121" s="201">
        <f>'CALCOLO VAC. E PEREQ 2020'!AE102</f>
        <v>72</v>
      </c>
      <c r="L121" s="71"/>
      <c r="M121" s="71"/>
      <c r="N121" s="71">
        <f>(730.77*12)</f>
        <v>8769.24</v>
      </c>
      <c r="O121" s="71">
        <f>(730.77*13)*20/100+1110.84</f>
        <v>3010.8420000000001</v>
      </c>
      <c r="P121" s="71">
        <f>51.9*12</f>
        <v>622.79999999999995</v>
      </c>
      <c r="Q121" s="71">
        <f>ROUND((I121+J121+L121+M121+N121)/12,2)</f>
        <v>2959.11</v>
      </c>
      <c r="R121" s="201">
        <f>45.33*12</f>
        <v>543.96</v>
      </c>
      <c r="S121" s="71">
        <f t="shared" si="30"/>
        <v>42718.032000000007</v>
      </c>
      <c r="T121" s="279"/>
      <c r="U121" s="280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276"/>
      <c r="AI121" s="128"/>
      <c r="AJ121" s="166"/>
    </row>
    <row r="122" spans="1:38" s="49" customFormat="1">
      <c r="A122" s="929"/>
      <c r="B122" s="64">
        <v>43</v>
      </c>
      <c r="C122" s="223" t="s">
        <v>156</v>
      </c>
      <c r="D122" s="75"/>
      <c r="E122" s="66" t="s">
        <v>66</v>
      </c>
      <c r="F122" s="67"/>
      <c r="G122" s="66" t="s">
        <v>99</v>
      </c>
      <c r="H122" s="68">
        <v>0</v>
      </c>
      <c r="I122" s="100">
        <f>'CALCOLO VAC. E PEREQ 2020'!S83</f>
        <v>173.68</v>
      </c>
      <c r="J122" s="69">
        <f>1908.6*12</f>
        <v>22903.199999999997</v>
      </c>
      <c r="K122" s="100">
        <f>'CALCOLO VAC. E PEREQ 2020'!AE83</f>
        <v>204</v>
      </c>
      <c r="L122" s="70"/>
      <c r="M122" s="70"/>
      <c r="N122" s="70"/>
      <c r="O122" s="70">
        <f>92.57*12</f>
        <v>1110.8399999999999</v>
      </c>
      <c r="P122" s="70">
        <f>(45.8*12)</f>
        <v>549.59999999999991</v>
      </c>
      <c r="Q122" s="71">
        <f t="shared" si="29"/>
        <v>1923.07</v>
      </c>
      <c r="R122" s="201">
        <f>22.35*12</f>
        <v>268.20000000000005</v>
      </c>
      <c r="S122" s="71">
        <f t="shared" si="30"/>
        <v>27132.589999999997</v>
      </c>
      <c r="T122" s="72"/>
      <c r="U122" s="77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276"/>
      <c r="AI122" s="128"/>
      <c r="AJ122" s="166"/>
    </row>
    <row r="123" spans="1:38" s="191" customFormat="1" ht="15" hidden="1" customHeight="1">
      <c r="A123" s="929"/>
      <c r="B123" s="160"/>
      <c r="C123" s="160"/>
      <c r="D123" s="193"/>
      <c r="E123" s="76" t="s">
        <v>66</v>
      </c>
      <c r="F123" s="162"/>
      <c r="G123" s="76"/>
      <c r="H123" s="163"/>
      <c r="I123" s="201"/>
      <c r="J123" s="71"/>
      <c r="K123" s="201"/>
      <c r="L123" s="71"/>
      <c r="M123" s="71"/>
      <c r="N123" s="71"/>
      <c r="O123" s="71"/>
      <c r="P123" s="71"/>
      <c r="Q123" s="71">
        <f t="shared" si="29"/>
        <v>0</v>
      </c>
      <c r="R123" s="201"/>
      <c r="S123" s="71">
        <f>SUM(I123:R123)</f>
        <v>0</v>
      </c>
      <c r="T123" s="71"/>
      <c r="U123" s="77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281"/>
      <c r="AI123" s="192"/>
      <c r="AJ123" s="165"/>
    </row>
    <row r="124" spans="1:38" s="49" customFormat="1" ht="43.15" customHeight="1">
      <c r="A124" s="929"/>
      <c r="B124" s="87">
        <v>44</v>
      </c>
      <c r="C124" s="924" t="s">
        <v>737</v>
      </c>
      <c r="D124" s="282"/>
      <c r="E124" s="283" t="s">
        <v>66</v>
      </c>
      <c r="F124" s="284"/>
      <c r="G124" s="66" t="s">
        <v>157</v>
      </c>
      <c r="H124" s="68">
        <v>0</v>
      </c>
      <c r="I124" s="201">
        <f>'CALCOLO VAC. E PEREQ 2020'!S62</f>
        <v>65.812500000000014</v>
      </c>
      <c r="J124" s="71">
        <f>1735.77*5</f>
        <v>8678.85</v>
      </c>
      <c r="K124" s="201">
        <f>'CALCOLO VAC. E PEREQ 2020'!AE62</f>
        <v>110</v>
      </c>
      <c r="L124" s="69"/>
      <c r="M124" s="69"/>
      <c r="N124" s="69"/>
      <c r="O124" s="69">
        <f>92.57*5</f>
        <v>462.84999999999997</v>
      </c>
      <c r="P124" s="69">
        <f>(45.8*5)</f>
        <v>229</v>
      </c>
      <c r="Q124" s="71">
        <f>ROUND((I124+J124+L124+M124+N124)/5,2)</f>
        <v>1748.93</v>
      </c>
      <c r="R124" s="100"/>
      <c r="S124" s="92">
        <f>SUM(I124:R124)</f>
        <v>11295.442500000001</v>
      </c>
      <c r="T124" s="71">
        <v>0</v>
      </c>
      <c r="U124" s="77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276"/>
      <c r="AI124" s="128"/>
      <c r="AJ124" s="166"/>
    </row>
    <row r="125" spans="1:38" s="49" customFormat="1">
      <c r="A125" s="929"/>
      <c r="B125" s="285">
        <v>45</v>
      </c>
      <c r="C125" s="223" t="s">
        <v>158</v>
      </c>
      <c r="D125" s="75"/>
      <c r="E125" s="66" t="s">
        <v>66</v>
      </c>
      <c r="F125" s="67"/>
      <c r="G125" s="66" t="s">
        <v>159</v>
      </c>
      <c r="H125" s="68">
        <v>0</v>
      </c>
      <c r="I125" s="154">
        <f>'CALCOLO VAC. E PEREQ 2020'!S67</f>
        <v>162.37</v>
      </c>
      <c r="J125" s="153">
        <f>1784.15*12</f>
        <v>21409.800000000003</v>
      </c>
      <c r="K125" s="154">
        <f>'CALCOLO VAC. E PEREQ 2020'!AE67</f>
        <v>240</v>
      </c>
      <c r="L125" s="70"/>
      <c r="M125" s="70"/>
      <c r="N125" s="70"/>
      <c r="O125" s="69">
        <f>92.57*12</f>
        <v>1110.8399999999999</v>
      </c>
      <c r="P125" s="70">
        <f>(45.8*12)</f>
        <v>549.59999999999991</v>
      </c>
      <c r="Q125" s="71">
        <f t="shared" si="29"/>
        <v>1797.68</v>
      </c>
      <c r="R125" s="201">
        <v>0</v>
      </c>
      <c r="S125" s="71">
        <f>SUM(I125:R125)</f>
        <v>25270.29</v>
      </c>
      <c r="T125" s="92">
        <v>0</v>
      </c>
      <c r="U125" s="77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276"/>
      <c r="AI125" s="128"/>
      <c r="AJ125" s="166"/>
    </row>
    <row r="126" spans="1:38" s="49" customFormat="1" ht="15.75" thickBot="1">
      <c r="A126" s="930"/>
      <c r="B126" s="148">
        <v>46</v>
      </c>
      <c r="C126" s="148" t="s">
        <v>160</v>
      </c>
      <c r="D126" s="178"/>
      <c r="E126" s="185" t="s">
        <v>66</v>
      </c>
      <c r="F126" s="179"/>
      <c r="G126" s="185" t="s">
        <v>159</v>
      </c>
      <c r="H126" s="137">
        <v>0</v>
      </c>
      <c r="I126" s="597">
        <f>'CALCOLO VAC. E PEREQ 2020'!S68</f>
        <v>162.37</v>
      </c>
      <c r="J126" s="153">
        <f>1784.15*12</f>
        <v>21409.800000000003</v>
      </c>
      <c r="K126" s="154">
        <f>'CALCOLO VAC. E PEREQ 2020'!AE68</f>
        <v>240</v>
      </c>
      <c r="L126" s="138"/>
      <c r="M126" s="138"/>
      <c r="N126" s="138"/>
      <c r="O126" s="138">
        <f>92.57*12</f>
        <v>1110.8399999999999</v>
      </c>
      <c r="P126" s="138">
        <f>(45.8*12)</f>
        <v>549.59999999999991</v>
      </c>
      <c r="Q126" s="71">
        <f t="shared" si="29"/>
        <v>1797.68</v>
      </c>
      <c r="R126" s="199"/>
      <c r="S126" s="139">
        <f>SUM(I126:R126)</f>
        <v>25270.29</v>
      </c>
      <c r="T126" s="139">
        <v>0</v>
      </c>
      <c r="U126" s="180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239"/>
      <c r="AI126" s="182"/>
      <c r="AJ126" s="181"/>
    </row>
    <row r="127" spans="1:38" s="49" customFormat="1" ht="17.25" thickTop="1" thickBot="1">
      <c r="D127" s="115"/>
      <c r="F127" s="116"/>
      <c r="H127" s="120">
        <f t="shared" ref="H127:T127" si="35">SUM(H111:H126)</f>
        <v>0</v>
      </c>
      <c r="I127" s="570">
        <f>SUM(I111:I126)</f>
        <v>2036.0274999999997</v>
      </c>
      <c r="J127" s="120">
        <f>SUM(J111:J126)</f>
        <v>268469.73</v>
      </c>
      <c r="K127" s="570">
        <f>SUM(K111:K126)</f>
        <v>2456</v>
      </c>
      <c r="L127" s="120">
        <f t="shared" si="35"/>
        <v>564</v>
      </c>
      <c r="M127" s="120">
        <f t="shared" si="35"/>
        <v>0</v>
      </c>
      <c r="N127" s="120">
        <f t="shared" si="35"/>
        <v>8769.24</v>
      </c>
      <c r="O127" s="120">
        <f t="shared" si="35"/>
        <v>15137.512000000001</v>
      </c>
      <c r="P127" s="120">
        <f t="shared" si="35"/>
        <v>7272.7999999999993</v>
      </c>
      <c r="Q127" s="119">
        <f>SUM(Q111:Q126)</f>
        <v>25194.22</v>
      </c>
      <c r="R127" s="570">
        <f t="shared" si="35"/>
        <v>812.16000000000008</v>
      </c>
      <c r="S127" s="119">
        <f>SUM(S111:S126)</f>
        <v>330711.68949999998</v>
      </c>
      <c r="T127" s="119">
        <f t="shared" si="35"/>
        <v>0</v>
      </c>
      <c r="U127" s="119"/>
      <c r="V127" s="120">
        <f>S127+T127-R127</f>
        <v>329899.5295</v>
      </c>
      <c r="W127" s="120">
        <f>S127-P127-R127-K127</f>
        <v>320170.72950000002</v>
      </c>
      <c r="X127" s="120">
        <f>S127+T127-R127</f>
        <v>329899.5295</v>
      </c>
      <c r="Y127" s="120">
        <v>0</v>
      </c>
      <c r="Z127" s="120">
        <f>S127+T127-R127</f>
        <v>329899.5295</v>
      </c>
      <c r="AA127" s="143">
        <f>ROUND((V127*23.8%),0)</f>
        <v>78516</v>
      </c>
      <c r="AB127" s="120">
        <f>ROUND((W127*2.88%),0)</f>
        <v>9221</v>
      </c>
      <c r="AC127" s="120">
        <v>0</v>
      </c>
      <c r="AD127" s="122">
        <f>ROUND((X127*0.9%),0)</f>
        <v>2969</v>
      </c>
      <c r="AE127" s="121">
        <v>0</v>
      </c>
      <c r="AF127" s="120">
        <f>SUM(AA127:AE127)</f>
        <v>90706</v>
      </c>
      <c r="AG127" s="122">
        <f>ROUND((V127*8.5%),0)</f>
        <v>28041</v>
      </c>
      <c r="AH127" s="121">
        <f>SUM(AH111:AH126)</f>
        <v>1413.81</v>
      </c>
      <c r="AI127" s="122">
        <f>S127-R127+T127-AA128-AB128-AC128</f>
        <v>329899.5295</v>
      </c>
      <c r="AJ127" s="121">
        <f>ROUND((S127+T127-R127-AA128-AB128-AC128)*29%,0)</f>
        <v>95671</v>
      </c>
    </row>
    <row r="128" spans="1:38" s="49" customFormat="1" ht="17.25" thickTop="1" thickBot="1">
      <c r="D128" s="115"/>
      <c r="F128" s="116"/>
      <c r="I128" s="601"/>
      <c r="J128" s="146"/>
      <c r="K128" s="601"/>
      <c r="L128" s="146"/>
      <c r="M128" s="146"/>
      <c r="N128" s="146"/>
      <c r="O128" s="146"/>
      <c r="P128" s="146"/>
      <c r="Q128" s="144"/>
      <c r="R128" s="144"/>
      <c r="S128" s="144"/>
      <c r="T128" s="144"/>
      <c r="U128" s="144"/>
      <c r="V128" s="146"/>
      <c r="W128" s="146"/>
      <c r="X128" s="127"/>
      <c r="Y128" s="127"/>
      <c r="Z128" s="126"/>
      <c r="AA128" s="129"/>
      <c r="AB128" s="129"/>
      <c r="AC128" s="129"/>
      <c r="AD128" s="48"/>
      <c r="AE128" s="48"/>
      <c r="AF128" s="129"/>
      <c r="AG128" s="127"/>
      <c r="AH128" s="126"/>
      <c r="AI128" s="126"/>
      <c r="AJ128" s="126"/>
    </row>
    <row r="129" spans="1:36" s="49" customFormat="1" ht="17.25" hidden="1" thickTop="1" thickBot="1">
      <c r="D129" s="115"/>
      <c r="F129" s="116"/>
      <c r="I129" s="602"/>
      <c r="J129" s="126"/>
      <c r="K129" s="602"/>
      <c r="L129" s="126"/>
      <c r="M129" s="126"/>
      <c r="N129" s="126"/>
      <c r="O129" s="126"/>
      <c r="P129" s="126"/>
      <c r="Q129" s="125"/>
      <c r="R129" s="125"/>
      <c r="S129" s="125"/>
      <c r="T129" s="125"/>
      <c r="U129" s="125"/>
      <c r="V129" s="123"/>
      <c r="W129" s="123"/>
      <c r="X129" s="127"/>
      <c r="Y129" s="127"/>
      <c r="Z129" s="126"/>
      <c r="AA129" s="129"/>
      <c r="AB129" s="129"/>
      <c r="AC129" s="129"/>
      <c r="AD129" s="130"/>
      <c r="AE129" s="48"/>
      <c r="AF129" s="129"/>
      <c r="AG129" s="127"/>
      <c r="AH129" s="126"/>
      <c r="AI129" s="126"/>
      <c r="AJ129" s="126"/>
    </row>
    <row r="130" spans="1:36" s="49" customFormat="1" ht="15.75" hidden="1" thickTop="1">
      <c r="D130" s="115"/>
      <c r="F130" s="116"/>
      <c r="I130" s="601"/>
      <c r="J130" s="127"/>
      <c r="K130" s="601"/>
      <c r="L130" s="146"/>
      <c r="M130" s="146"/>
      <c r="N130" s="146"/>
      <c r="O130" s="146"/>
      <c r="P130" s="146"/>
      <c r="Q130" s="144"/>
      <c r="R130" s="144"/>
      <c r="S130" s="144"/>
      <c r="T130" s="144"/>
      <c r="U130" s="144"/>
      <c r="V130" s="146"/>
    </row>
    <row r="131" spans="1:36" s="49" customFormat="1" hidden="1">
      <c r="I131" s="102"/>
      <c r="K131" s="102"/>
      <c r="Q131" s="191"/>
      <c r="R131" s="191"/>
      <c r="S131" s="191"/>
      <c r="T131" s="191"/>
      <c r="U131" s="191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</row>
    <row r="132" spans="1:36" s="49" customFormat="1" ht="40.15" customHeight="1" thickTop="1">
      <c r="A132" s="928" t="s">
        <v>498</v>
      </c>
      <c r="B132" s="160">
        <v>47</v>
      </c>
      <c r="C132" s="856" t="s">
        <v>717</v>
      </c>
      <c r="D132" s="621"/>
      <c r="E132" s="677" t="s">
        <v>66</v>
      </c>
      <c r="F132" s="621"/>
      <c r="G132" s="678" t="s">
        <v>2</v>
      </c>
      <c r="H132" s="623"/>
      <c r="I132" s="679">
        <f>'CALCOLO VAC. E PEREQ 2020'!S59</f>
        <v>77.155000000000001</v>
      </c>
      <c r="J132" s="679">
        <f>1695.34*6</f>
        <v>10172.039999999999</v>
      </c>
      <c r="K132" s="623">
        <f>'CALCOLO VAC. E PEREQ 2020'!AE59</f>
        <v>138</v>
      </c>
      <c r="L132" s="623"/>
      <c r="M132" s="623"/>
      <c r="N132" s="623"/>
      <c r="O132" s="623"/>
      <c r="P132" s="623">
        <f>(45.8*6)</f>
        <v>274.79999999999995</v>
      </c>
      <c r="Q132" s="680">
        <f>ROUND((I132+J132+L132+M132+N132)/6,2)</f>
        <v>1708.2</v>
      </c>
      <c r="R132" s="622"/>
      <c r="S132" s="681">
        <f>SUM(H132:Q132)</f>
        <v>12370.195</v>
      </c>
      <c r="T132" s="191"/>
      <c r="U132" s="191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</row>
    <row r="133" spans="1:36" s="49" customFormat="1" ht="15" hidden="1" customHeight="1">
      <c r="A133" s="929"/>
      <c r="B133" s="160">
        <v>48</v>
      </c>
      <c r="C133" s="856"/>
      <c r="D133" s="621"/>
      <c r="E133" s="677"/>
      <c r="F133" s="621"/>
      <c r="G133" s="678"/>
      <c r="H133" s="623"/>
      <c r="I133" s="623"/>
      <c r="J133" s="679"/>
      <c r="K133" s="623"/>
      <c r="L133" s="623"/>
      <c r="M133" s="623"/>
      <c r="N133" s="623"/>
      <c r="O133" s="623"/>
      <c r="P133" s="623"/>
      <c r="Q133" s="680">
        <f>ROUND((I133+J133+L133+M133+N133)/9,2)</f>
        <v>0</v>
      </c>
      <c r="R133" s="622"/>
      <c r="S133" s="681">
        <f>SUM(H133:Q133)</f>
        <v>0</v>
      </c>
      <c r="T133" s="191"/>
      <c r="U133" s="191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</row>
    <row r="134" spans="1:36" s="49" customFormat="1">
      <c r="A134" s="929"/>
      <c r="B134" s="64">
        <v>49</v>
      </c>
      <c r="C134" s="160" t="s">
        <v>161</v>
      </c>
      <c r="D134" s="189" t="s">
        <v>162</v>
      </c>
      <c r="E134" s="66" t="s">
        <v>66</v>
      </c>
      <c r="F134" s="67"/>
      <c r="G134" s="66" t="s">
        <v>163</v>
      </c>
      <c r="H134" s="228">
        <v>0</v>
      </c>
      <c r="I134" s="201">
        <f>'CALCOLO VAC. E PEREQ 2020'!S17</f>
        <v>117.312</v>
      </c>
      <c r="J134" s="201">
        <f>1611.94*12*80%</f>
        <v>15474.624</v>
      </c>
      <c r="K134" s="201">
        <f>'CALCOLO VAC. E PEREQ 2020'!AE17</f>
        <v>230.4</v>
      </c>
      <c r="L134" s="70">
        <v>0</v>
      </c>
      <c r="M134" s="70"/>
      <c r="N134" s="70"/>
      <c r="O134" s="70"/>
      <c r="P134" s="70">
        <f>(31.45*12)</f>
        <v>377.4</v>
      </c>
      <c r="Q134" s="71">
        <f>ROUND((I134+J134+L134+M134+N134)/12,2)</f>
        <v>1299.33</v>
      </c>
      <c r="R134" s="92">
        <v>0</v>
      </c>
      <c r="S134" s="71">
        <f t="shared" ref="S134:S141" si="36">SUM(I134:R134)</f>
        <v>17499.065999999999</v>
      </c>
      <c r="T134" s="71"/>
      <c r="U134" s="281"/>
      <c r="V134" s="128"/>
      <c r="W134" s="128"/>
      <c r="X134" s="166"/>
      <c r="Y134" s="128"/>
      <c r="Z134" s="166"/>
      <c r="AA134" s="166"/>
      <c r="AB134" s="166"/>
      <c r="AC134" s="166"/>
      <c r="AD134" s="166"/>
      <c r="AE134" s="166"/>
      <c r="AF134" s="166"/>
      <c r="AG134" s="166"/>
      <c r="AH134" s="128">
        <f>(279+280)*12</f>
        <v>6708</v>
      </c>
      <c r="AI134" s="166"/>
      <c r="AJ134" s="166"/>
    </row>
    <row r="135" spans="1:36" s="49" customFormat="1">
      <c r="A135" s="929"/>
      <c r="B135" s="64">
        <v>50</v>
      </c>
      <c r="C135" s="160" t="s">
        <v>164</v>
      </c>
      <c r="D135" s="75"/>
      <c r="E135" s="66" t="s">
        <v>66</v>
      </c>
      <c r="F135" s="67"/>
      <c r="G135" s="291" t="s">
        <v>159</v>
      </c>
      <c r="H135" s="68">
        <v>0</v>
      </c>
      <c r="I135" s="154">
        <f>'CALCOLO VAC. E PEREQ 2020'!S64</f>
        <v>162.37</v>
      </c>
      <c r="J135" s="153">
        <f>1784.15*12</f>
        <v>21409.800000000003</v>
      </c>
      <c r="K135" s="154">
        <f>'CALCOLO VAC. E PEREQ 2020'!AE64</f>
        <v>240</v>
      </c>
      <c r="L135" s="70"/>
      <c r="M135" s="70"/>
      <c r="N135" s="70"/>
      <c r="O135" s="70"/>
      <c r="P135" s="70">
        <f>(45.8*12)</f>
        <v>549.59999999999991</v>
      </c>
      <c r="Q135" s="71">
        <f t="shared" ref="Q135:Q141" si="37">ROUND((I135+J135+L135+M135+N135)/12,2)</f>
        <v>1797.68</v>
      </c>
      <c r="R135" s="71">
        <f>(106.67*12)</f>
        <v>1280.04</v>
      </c>
      <c r="S135" s="71">
        <f t="shared" si="36"/>
        <v>25439.49</v>
      </c>
      <c r="T135" s="71"/>
      <c r="U135" s="77"/>
      <c r="V135" s="166"/>
      <c r="W135" s="166"/>
      <c r="X135" s="166"/>
      <c r="Y135" s="166"/>
      <c r="Z135" s="166"/>
      <c r="AA135" s="166"/>
      <c r="AB135" s="127"/>
      <c r="AC135" s="166"/>
      <c r="AD135" s="166"/>
      <c r="AE135" s="166"/>
      <c r="AF135" s="166"/>
      <c r="AG135" s="166"/>
      <c r="AH135" s="166"/>
      <c r="AI135" s="166"/>
      <c r="AJ135" s="166"/>
    </row>
    <row r="136" spans="1:36" s="102" customFormat="1" ht="15" hidden="1" customHeight="1">
      <c r="A136" s="929"/>
      <c r="B136" s="231"/>
      <c r="C136" s="231"/>
      <c r="D136" s="232"/>
      <c r="E136" s="226" t="s">
        <v>66</v>
      </c>
      <c r="F136" s="252"/>
      <c r="G136" s="292"/>
      <c r="H136" s="293">
        <f t="shared" ref="H136:H137" si="38">(J136+K136+P136+Q136)*3%</f>
        <v>0</v>
      </c>
      <c r="I136" s="154"/>
      <c r="J136" s="154">
        <v>0</v>
      </c>
      <c r="K136" s="154"/>
      <c r="L136" s="154">
        <v>0</v>
      </c>
      <c r="M136" s="154"/>
      <c r="N136" s="154"/>
      <c r="O136" s="154"/>
      <c r="P136" s="154">
        <v>0</v>
      </c>
      <c r="Q136" s="71">
        <f t="shared" si="37"/>
        <v>0</v>
      </c>
      <c r="R136" s="154"/>
      <c r="S136" s="154">
        <f t="shared" si="36"/>
        <v>0</v>
      </c>
      <c r="T136" s="154"/>
      <c r="U136" s="294"/>
      <c r="V136" s="172"/>
      <c r="W136" s="172"/>
      <c r="X136" s="172"/>
      <c r="Y136" s="173"/>
      <c r="Z136" s="172"/>
      <c r="AA136" s="172"/>
      <c r="AB136" s="295"/>
      <c r="AC136" s="172"/>
      <c r="AD136" s="172"/>
      <c r="AE136" s="172"/>
      <c r="AF136" s="172"/>
      <c r="AG136" s="172"/>
      <c r="AH136" s="173"/>
      <c r="AI136" s="172"/>
      <c r="AJ136" s="172"/>
    </row>
    <row r="137" spans="1:36" s="49" customFormat="1" ht="15" hidden="1" customHeight="1">
      <c r="A137" s="929"/>
      <c r="B137" s="64"/>
      <c r="C137" s="224"/>
      <c r="D137" s="75"/>
      <c r="E137" s="66" t="s">
        <v>66</v>
      </c>
      <c r="F137" s="67"/>
      <c r="G137" s="76"/>
      <c r="H137" s="68">
        <f t="shared" si="38"/>
        <v>0</v>
      </c>
      <c r="I137" s="201"/>
      <c r="J137" s="201"/>
      <c r="K137" s="201"/>
      <c r="L137" s="70"/>
      <c r="M137" s="70"/>
      <c r="O137" s="70"/>
      <c r="P137" s="70"/>
      <c r="Q137" s="71">
        <f>ROUND((I137+J137+L137+M137+N137)/12,2)</f>
        <v>0</v>
      </c>
      <c r="R137" s="71"/>
      <c r="S137" s="71">
        <f t="shared" si="36"/>
        <v>0</v>
      </c>
      <c r="T137" s="71"/>
      <c r="U137" s="77"/>
      <c r="V137" s="166"/>
      <c r="W137" s="166"/>
      <c r="X137" s="166"/>
      <c r="Y137" s="128"/>
      <c r="Z137" s="166"/>
      <c r="AA137" s="166"/>
      <c r="AB137" s="127"/>
      <c r="AC137" s="166"/>
      <c r="AD137" s="166"/>
      <c r="AE137" s="166"/>
      <c r="AF137" s="166"/>
      <c r="AG137" s="166"/>
      <c r="AH137" s="128"/>
      <c r="AI137" s="166"/>
      <c r="AJ137" s="166"/>
    </row>
    <row r="138" spans="1:36" s="49" customFormat="1">
      <c r="A138" s="929"/>
      <c r="B138" s="86">
        <v>51</v>
      </c>
      <c r="C138" s="64" t="s">
        <v>165</v>
      </c>
      <c r="D138" s="75"/>
      <c r="E138" s="66" t="s">
        <v>66</v>
      </c>
      <c r="F138" s="67"/>
      <c r="G138" s="66" t="s">
        <v>557</v>
      </c>
      <c r="H138" s="68">
        <v>0</v>
      </c>
      <c r="I138" s="201">
        <f>'CALCOLO VAC. E PEREQ 2020'!S86</f>
        <v>178.49</v>
      </c>
      <c r="J138" s="69">
        <f>1961.93*12</f>
        <v>23543.16</v>
      </c>
      <c r="K138" s="201">
        <f>'CALCOLO VAC. E PEREQ 2020'!AE86</f>
        <v>0</v>
      </c>
      <c r="L138" s="70">
        <v>0</v>
      </c>
      <c r="M138" s="70"/>
      <c r="N138" s="70"/>
      <c r="O138" s="70">
        <v>0</v>
      </c>
      <c r="P138" s="70">
        <f>(45.8*12)</f>
        <v>549.59999999999991</v>
      </c>
      <c r="Q138" s="71">
        <f>ROUND((I138+J138+L138+M138+N138)/12,2)</f>
        <v>1976.8</v>
      </c>
      <c r="R138" s="71">
        <v>0</v>
      </c>
      <c r="S138" s="71">
        <f t="shared" si="36"/>
        <v>26248.05</v>
      </c>
      <c r="T138" s="77"/>
      <c r="U138" s="77"/>
      <c r="V138" s="166"/>
      <c r="W138" s="166"/>
      <c r="X138" s="166"/>
      <c r="Y138" s="128"/>
      <c r="Z138" s="166"/>
      <c r="AA138" s="166"/>
      <c r="AB138" s="127"/>
      <c r="AC138" s="166"/>
      <c r="AD138" s="166"/>
      <c r="AE138" s="166"/>
      <c r="AF138" s="166"/>
      <c r="AG138" s="296"/>
      <c r="AH138" s="74">
        <f>9.13*12</f>
        <v>109.56</v>
      </c>
      <c r="AI138" s="128"/>
      <c r="AJ138" s="166"/>
    </row>
    <row r="139" spans="1:36" s="102" customFormat="1" ht="45">
      <c r="A139" s="929"/>
      <c r="B139" s="94">
        <v>52</v>
      </c>
      <c r="C139" s="95" t="s">
        <v>166</v>
      </c>
      <c r="D139" s="96"/>
      <c r="E139" s="97" t="s">
        <v>66</v>
      </c>
      <c r="F139" s="98"/>
      <c r="G139" s="97" t="s">
        <v>139</v>
      </c>
      <c r="H139" s="99">
        <v>0</v>
      </c>
      <c r="I139" s="100">
        <f>'CALCOLO VAC. E PEREQ 2020'!S99</f>
        <v>201.24</v>
      </c>
      <c r="J139" s="70">
        <f>2211.57*12</f>
        <v>26538.840000000004</v>
      </c>
      <c r="K139" s="201">
        <f>'CALCOLO VAC. E PEREQ 2020'!AE99</f>
        <v>72</v>
      </c>
      <c r="L139" s="100">
        <f>(10.05*12)</f>
        <v>120.60000000000001</v>
      </c>
      <c r="M139" s="100"/>
      <c r="N139" s="70">
        <f>(794.55*12)</f>
        <v>9534.5999999999985</v>
      </c>
      <c r="O139" s="100">
        <f>(794.55*12)*20/100</f>
        <v>1906.9199999999996</v>
      </c>
      <c r="P139" s="100">
        <f>(51.9*12)</f>
        <v>622.79999999999995</v>
      </c>
      <c r="Q139" s="71">
        <f>ROUND((I139+J139+L139+M139+N139)/12,2)</f>
        <v>3032.94</v>
      </c>
      <c r="R139" s="100">
        <v>0</v>
      </c>
      <c r="S139" s="100">
        <f>SUM(I139:R139)</f>
        <v>42029.94</v>
      </c>
      <c r="T139" s="100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</row>
    <row r="140" spans="1:36" s="85" customFormat="1" ht="25.5" hidden="1" customHeight="1">
      <c r="A140" s="929"/>
      <c r="B140" s="78"/>
      <c r="C140" s="297"/>
      <c r="D140" s="79"/>
      <c r="E140" s="80" t="s">
        <v>66</v>
      </c>
      <c r="F140" s="81"/>
      <c r="G140" s="80"/>
      <c r="H140" s="298">
        <f>(J140+K140+P140+Q140)*3%</f>
        <v>0</v>
      </c>
      <c r="I140" s="100"/>
      <c r="J140" s="299">
        <v>0</v>
      </c>
      <c r="K140" s="100"/>
      <c r="L140" s="299"/>
      <c r="M140" s="299"/>
      <c r="N140" s="299"/>
      <c r="O140" s="299"/>
      <c r="P140" s="299">
        <v>0</v>
      </c>
      <c r="Q140" s="71">
        <f>ROUND((I140+J140+L140+M140+N140)/12,2)</f>
        <v>0</v>
      </c>
      <c r="R140" s="299"/>
      <c r="S140" s="299">
        <f>SUM(I140:R140)</f>
        <v>0</v>
      </c>
      <c r="T140" s="84"/>
      <c r="U140" s="83" t="s">
        <v>167</v>
      </c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84"/>
      <c r="AI140" s="300"/>
      <c r="AJ140" s="300"/>
    </row>
    <row r="141" spans="1:36" s="49" customFormat="1" ht="15.75" thickBot="1">
      <c r="A141" s="930"/>
      <c r="B141" s="103">
        <v>53</v>
      </c>
      <c r="C141" s="289" t="s">
        <v>168</v>
      </c>
      <c r="D141" s="263"/>
      <c r="E141" s="264" t="s">
        <v>66</v>
      </c>
      <c r="F141" s="107"/>
      <c r="G141" s="264" t="s">
        <v>169</v>
      </c>
      <c r="H141" s="290">
        <v>0</v>
      </c>
      <c r="I141" s="202">
        <f>'CALCOLO VAC. E PEREQ 2020'!S16</f>
        <v>146.63999999999999</v>
      </c>
      <c r="J141" s="70">
        <f>1611.94*12</f>
        <v>19343.28</v>
      </c>
      <c r="K141" s="202">
        <f>'CALCOLO VAC. E PEREQ 2020'!AE16</f>
        <v>288</v>
      </c>
      <c r="L141" s="114"/>
      <c r="M141" s="114"/>
      <c r="N141" s="114"/>
      <c r="O141" s="114">
        <f>(5.38*12)</f>
        <v>64.56</v>
      </c>
      <c r="P141" s="114">
        <f>(39.31*12)</f>
        <v>471.72</v>
      </c>
      <c r="Q141" s="71">
        <f t="shared" si="37"/>
        <v>1624.16</v>
      </c>
      <c r="R141" s="180"/>
      <c r="S141" s="180">
        <f t="shared" si="36"/>
        <v>21938.36</v>
      </c>
      <c r="T141" s="180">
        <v>0</v>
      </c>
      <c r="U141" s="180"/>
      <c r="V141" s="181"/>
      <c r="W141" s="181"/>
      <c r="X141" s="181"/>
      <c r="Y141" s="181"/>
      <c r="Z141" s="181"/>
      <c r="AA141" s="181"/>
      <c r="AB141" s="301"/>
      <c r="AC141" s="181"/>
      <c r="AD141" s="181"/>
      <c r="AE141" s="181"/>
      <c r="AF141" s="181"/>
      <c r="AG141" s="181"/>
      <c r="AH141" s="181"/>
      <c r="AI141" s="181"/>
      <c r="AJ141" s="181"/>
    </row>
    <row r="142" spans="1:36" s="49" customFormat="1" ht="17.25" thickTop="1" thickBot="1">
      <c r="D142" s="115"/>
      <c r="F142" s="116"/>
      <c r="H142" s="120">
        <f>SUM(H34:H141)</f>
        <v>0</v>
      </c>
      <c r="I142" s="570">
        <f>SUM(I132:I141)</f>
        <v>883.20699999999999</v>
      </c>
      <c r="J142" s="120">
        <f>SUM(J132:J141)</f>
        <v>116481.74400000001</v>
      </c>
      <c r="K142" s="570">
        <f>SUM(K132:K141)</f>
        <v>968.4</v>
      </c>
      <c r="L142" s="120">
        <f>SUM(L132:L141)</f>
        <v>120.60000000000001</v>
      </c>
      <c r="M142" s="120">
        <f t="shared" ref="M142:T142" si="39">SUM(M134:M141)</f>
        <v>0</v>
      </c>
      <c r="N142" s="120">
        <f t="shared" ref="N142:S142" si="40">SUM(N132:N141)</f>
        <v>9534.5999999999985</v>
      </c>
      <c r="O142" s="120">
        <f t="shared" si="40"/>
        <v>1971.4799999999996</v>
      </c>
      <c r="P142" s="120">
        <f t="shared" si="40"/>
        <v>2845.92</v>
      </c>
      <c r="Q142" s="119">
        <f>SUM(Q132:Q141)</f>
        <v>11439.11</v>
      </c>
      <c r="R142" s="119">
        <f t="shared" si="40"/>
        <v>1280.04</v>
      </c>
      <c r="S142" s="119">
        <f t="shared" si="40"/>
        <v>145525.10100000002</v>
      </c>
      <c r="T142" s="119">
        <f t="shared" si="39"/>
        <v>0</v>
      </c>
      <c r="U142" s="119"/>
      <c r="V142" s="120">
        <f>S142+T142-R142</f>
        <v>144245.06100000002</v>
      </c>
      <c r="W142" s="120">
        <f>S142-P142-R142-K142</f>
        <v>140430.74100000001</v>
      </c>
      <c r="X142" s="120">
        <f>S142+T142-R142</f>
        <v>144245.06100000002</v>
      </c>
      <c r="Y142" s="302">
        <v>0</v>
      </c>
      <c r="Z142" s="120">
        <f>S142+T142-R142</f>
        <v>144245.06100000002</v>
      </c>
      <c r="AA142" s="120">
        <f>ROUND((V142*23.8%),0)</f>
        <v>34330</v>
      </c>
      <c r="AB142" s="120">
        <f>ROUND((W142*2.88%),0)</f>
        <v>4044</v>
      </c>
      <c r="AD142" s="121">
        <f>ROUND((X142*0.5%),0)</f>
        <v>721</v>
      </c>
      <c r="AE142" s="121">
        <f>ROUND((Y142*1.61%),0)</f>
        <v>0</v>
      </c>
      <c r="AF142" s="120">
        <f>SUM(AA142:AE142)</f>
        <v>39095</v>
      </c>
      <c r="AG142" s="121">
        <f>ROUND((V142*8.5%),0)</f>
        <v>12261</v>
      </c>
      <c r="AH142" s="121">
        <f>SUM(AH131:AH141)</f>
        <v>6817.56</v>
      </c>
      <c r="AI142" s="122">
        <f>S142-R142+T142-AA143-AB143-AC143</f>
        <v>144245.06100000002</v>
      </c>
      <c r="AJ142" s="121">
        <f>ROUND((S142+T142-R142-AA143-AB143)*29%,0)</f>
        <v>41831</v>
      </c>
    </row>
    <row r="143" spans="1:36" s="49" customFormat="1" ht="17.25" thickTop="1" thickBot="1">
      <c r="D143" s="115"/>
      <c r="F143" s="116"/>
      <c r="I143" s="599"/>
      <c r="J143" s="123"/>
      <c r="K143" s="598"/>
      <c r="L143" s="123"/>
      <c r="M143" s="123"/>
      <c r="N143" s="123"/>
      <c r="O143" s="123"/>
      <c r="P143" s="123"/>
      <c r="Q143" s="124"/>
      <c r="R143" s="124"/>
      <c r="S143" s="124"/>
      <c r="T143" s="124"/>
      <c r="U143" s="124"/>
      <c r="V143" s="123"/>
      <c r="W143" s="126"/>
      <c r="X143" s="127"/>
      <c r="Y143" s="127"/>
      <c r="Z143" s="126"/>
      <c r="AA143" s="129"/>
      <c r="AB143" s="121"/>
      <c r="AC143" s="129"/>
      <c r="AD143" s="48"/>
      <c r="AE143" s="48"/>
      <c r="AF143" s="121"/>
      <c r="AG143" s="127"/>
      <c r="AH143" s="126"/>
      <c r="AI143" s="126"/>
      <c r="AJ143" s="126"/>
    </row>
    <row r="144" spans="1:36" s="49" customFormat="1" ht="16.5" hidden="1" thickTop="1">
      <c r="D144" s="115"/>
      <c r="F144" s="116"/>
      <c r="I144" s="598"/>
      <c r="J144" s="123"/>
      <c r="K144" s="598"/>
      <c r="L144" s="123"/>
      <c r="M144" s="123"/>
      <c r="N144" s="123"/>
      <c r="O144" s="123"/>
      <c r="P144" s="123"/>
      <c r="Q144" s="124"/>
      <c r="R144" s="124"/>
      <c r="S144" s="124"/>
      <c r="T144" s="124"/>
      <c r="U144" s="124"/>
      <c r="V144" s="123"/>
      <c r="W144" s="126"/>
      <c r="X144" s="127"/>
      <c r="Y144" s="127"/>
      <c r="Z144" s="126"/>
      <c r="AA144" s="130"/>
      <c r="AB144" s="130"/>
      <c r="AC144" s="130"/>
      <c r="AD144" s="48"/>
      <c r="AE144" s="48"/>
      <c r="AF144" s="130"/>
      <c r="AG144" s="127"/>
      <c r="AH144" s="126"/>
      <c r="AI144" s="126"/>
      <c r="AJ144" s="126"/>
    </row>
    <row r="145" spans="1:36" s="49" customFormat="1" ht="15.75" hidden="1">
      <c r="D145" s="287"/>
      <c r="F145" s="116"/>
      <c r="I145" s="598"/>
      <c r="J145" s="123"/>
      <c r="K145" s="598"/>
      <c r="L145" s="123"/>
      <c r="M145" s="123"/>
      <c r="N145" s="123"/>
      <c r="O145" s="123"/>
      <c r="P145" s="123"/>
      <c r="Q145" s="124"/>
      <c r="R145" s="124"/>
      <c r="S145" s="124"/>
      <c r="T145" s="124"/>
      <c r="U145" s="124"/>
      <c r="V145" s="249"/>
      <c r="W145" s="249"/>
      <c r="X145" s="159"/>
      <c r="Y145" s="159"/>
      <c r="Z145" s="249"/>
      <c r="AA145" s="302"/>
      <c r="AB145" s="302"/>
      <c r="AC145" s="302"/>
      <c r="AD145" s="250"/>
      <c r="AE145" s="250"/>
      <c r="AF145" s="302"/>
      <c r="AG145" s="159"/>
      <c r="AH145" s="249"/>
      <c r="AI145" s="249"/>
      <c r="AJ145" s="249"/>
    </row>
    <row r="146" spans="1:36" s="85" customFormat="1" ht="51.75" hidden="1" customHeight="1" thickBot="1">
      <c r="B146" s="303"/>
      <c r="C146" s="304"/>
      <c r="D146" s="305"/>
      <c r="E146" s="306" t="s">
        <v>66</v>
      </c>
      <c r="F146" s="307"/>
      <c r="G146" s="306"/>
      <c r="H146" s="308">
        <f>(J146+K146+P146+Q146)*3%</f>
        <v>0</v>
      </c>
      <c r="I146" s="199">
        <v>0</v>
      </c>
      <c r="J146" s="147">
        <v>0</v>
      </c>
      <c r="K146" s="199">
        <v>0</v>
      </c>
      <c r="L146" s="147">
        <v>0</v>
      </c>
      <c r="M146" s="147">
        <v>0</v>
      </c>
      <c r="N146" s="147"/>
      <c r="O146" s="147">
        <v>0</v>
      </c>
      <c r="P146" s="147">
        <v>0</v>
      </c>
      <c r="Q146" s="147">
        <f>ROUND((I146+J146+K146+L146+M146+N146)/12,2)</f>
        <v>0</v>
      </c>
      <c r="R146" s="147"/>
      <c r="S146" s="147">
        <f>SUM(I146:R146)</f>
        <v>0</v>
      </c>
      <c r="T146" s="147">
        <v>0</v>
      </c>
      <c r="U146" s="309"/>
      <c r="V146" s="310"/>
      <c r="W146" s="310"/>
      <c r="X146" s="310"/>
      <c r="Y146" s="310"/>
      <c r="Z146" s="310"/>
      <c r="AA146" s="310"/>
      <c r="AB146" s="311"/>
      <c r="AC146" s="310"/>
      <c r="AD146" s="310"/>
      <c r="AE146" s="310"/>
      <c r="AF146" s="310"/>
      <c r="AG146" s="310"/>
      <c r="AH146" s="309">
        <f>140.72*12</f>
        <v>1688.6399999999999</v>
      </c>
      <c r="AI146" s="310"/>
      <c r="AJ146" s="310"/>
    </row>
    <row r="147" spans="1:36" s="49" customFormat="1" ht="17.25" hidden="1" thickTop="1" thickBot="1">
      <c r="C147" s="191"/>
      <c r="D147" s="205"/>
      <c r="E147" s="191"/>
      <c r="F147" s="206"/>
      <c r="G147" s="191"/>
      <c r="H147" s="119">
        <f t="shared" ref="H147:T147" si="41">SUM(H146:H146)</f>
        <v>0</v>
      </c>
      <c r="I147" s="570">
        <f t="shared" si="41"/>
        <v>0</v>
      </c>
      <c r="J147" s="119">
        <f t="shared" si="41"/>
        <v>0</v>
      </c>
      <c r="K147" s="570">
        <f t="shared" si="41"/>
        <v>0</v>
      </c>
      <c r="L147" s="119">
        <f t="shared" si="41"/>
        <v>0</v>
      </c>
      <c r="M147" s="119">
        <f t="shared" si="41"/>
        <v>0</v>
      </c>
      <c r="N147" s="119">
        <f t="shared" si="41"/>
        <v>0</v>
      </c>
      <c r="O147" s="119">
        <f t="shared" si="41"/>
        <v>0</v>
      </c>
      <c r="P147" s="119">
        <f t="shared" si="41"/>
        <v>0</v>
      </c>
      <c r="Q147" s="119">
        <f t="shared" si="41"/>
        <v>0</v>
      </c>
      <c r="R147" s="119">
        <f t="shared" si="41"/>
        <v>0</v>
      </c>
      <c r="S147" s="119">
        <f t="shared" si="41"/>
        <v>0</v>
      </c>
      <c r="T147" s="119">
        <f t="shared" si="41"/>
        <v>0</v>
      </c>
      <c r="U147" s="119"/>
      <c r="V147" s="120">
        <f>S147+T147-R147</f>
        <v>0</v>
      </c>
      <c r="W147" s="120">
        <f>S147-P147-R147</f>
        <v>0</v>
      </c>
      <c r="X147" s="120">
        <f>S147+T147-R147</f>
        <v>0</v>
      </c>
      <c r="Y147" s="302">
        <v>0</v>
      </c>
      <c r="Z147" s="120">
        <f>S147+T147-R147</f>
        <v>0</v>
      </c>
      <c r="AA147" s="120">
        <f>ROUND((V147*23.8%),0)</f>
        <v>0</v>
      </c>
      <c r="AB147" s="120">
        <f>ROUND((W147*2.88%),0)</f>
        <v>0</v>
      </c>
      <c r="AD147" s="121">
        <f>ROUND((X147*0.5%),0)</f>
        <v>0</v>
      </c>
      <c r="AE147" s="121">
        <f>ROUND((Y147*1.61%),0)</f>
        <v>0</v>
      </c>
      <c r="AF147" s="120">
        <f>SUM(AA147:AE147)</f>
        <v>0</v>
      </c>
      <c r="AG147" s="121">
        <f>ROUND((V147*8.5%),0)</f>
        <v>0</v>
      </c>
      <c r="AH147" s="121">
        <f>SUM(AH142:AH146)</f>
        <v>8506.2000000000007</v>
      </c>
      <c r="AI147" s="122">
        <f>S147-R147+T147-AA148-AB148-AC148</f>
        <v>0</v>
      </c>
      <c r="AJ147" s="121">
        <f>ROUND((S147+T147-R147-AA148-AB148)*29%,0)</f>
        <v>0</v>
      </c>
    </row>
    <row r="148" spans="1:36" s="49" customFormat="1" ht="17.25" hidden="1" thickTop="1" thickBot="1">
      <c r="D148" s="115"/>
      <c r="F148" s="116"/>
      <c r="I148" s="599"/>
      <c r="J148" s="123"/>
      <c r="K148" s="598"/>
      <c r="L148" s="123"/>
      <c r="M148" s="123"/>
      <c r="N148" s="123"/>
      <c r="O148" s="123"/>
      <c r="P148" s="123"/>
      <c r="Q148" s="124"/>
      <c r="R148" s="124"/>
      <c r="S148" s="124"/>
      <c r="T148" s="124"/>
      <c r="U148" s="124"/>
      <c r="V148" s="123"/>
      <c r="W148" s="126"/>
      <c r="X148" s="127"/>
      <c r="Y148" s="127"/>
      <c r="Z148" s="126"/>
      <c r="AA148" s="129"/>
      <c r="AB148" s="121"/>
      <c r="AC148" s="129"/>
      <c r="AD148" s="48"/>
      <c r="AE148" s="48"/>
      <c r="AF148" s="121"/>
      <c r="AG148" s="127"/>
      <c r="AH148" s="126"/>
      <c r="AI148" s="126"/>
      <c r="AJ148" s="126"/>
    </row>
    <row r="149" spans="1:36" s="49" customFormat="1" ht="16.5" hidden="1" thickTop="1">
      <c r="D149" s="115"/>
      <c r="F149" s="116"/>
      <c r="I149" s="598"/>
      <c r="K149" s="612"/>
      <c r="L149" s="123"/>
      <c r="M149" s="123"/>
      <c r="N149" s="123"/>
      <c r="O149" s="123"/>
      <c r="P149" s="123"/>
      <c r="Q149" s="124"/>
      <c r="R149" s="124"/>
      <c r="S149" s="124"/>
      <c r="T149" s="124"/>
      <c r="U149" s="124"/>
      <c r="V149" s="123"/>
      <c r="W149" s="126"/>
      <c r="X149" s="127"/>
      <c r="Y149" s="127"/>
      <c r="Z149" s="126"/>
      <c r="AA149" s="130"/>
      <c r="AB149" s="130"/>
      <c r="AC149" s="130"/>
      <c r="AD149" s="48"/>
      <c r="AE149" s="48"/>
      <c r="AF149" s="130"/>
      <c r="AG149" s="127"/>
      <c r="AH149" s="126"/>
      <c r="AI149" s="126"/>
      <c r="AJ149" s="126"/>
    </row>
    <row r="150" spans="1:36" s="49" customFormat="1" ht="15.75" hidden="1">
      <c r="D150" s="287"/>
      <c r="E150" s="286"/>
      <c r="F150" s="288"/>
      <c r="G150" s="286"/>
      <c r="H150" s="286"/>
      <c r="I150" s="608"/>
      <c r="J150" s="249"/>
      <c r="K150" s="608"/>
      <c r="L150" s="123"/>
      <c r="M150" s="123"/>
      <c r="N150" s="123"/>
      <c r="O150" s="123"/>
      <c r="P150" s="123"/>
      <c r="Q150" s="124"/>
      <c r="R150" s="124"/>
      <c r="S150" s="124"/>
      <c r="T150" s="124"/>
      <c r="U150" s="124"/>
      <c r="V150" s="249"/>
      <c r="W150" s="249"/>
      <c r="X150" s="159"/>
      <c r="Y150" s="159"/>
      <c r="Z150" s="249"/>
      <c r="AA150" s="302"/>
      <c r="AB150" s="302"/>
      <c r="AC150" s="302"/>
      <c r="AD150" s="250"/>
      <c r="AE150" s="250"/>
      <c r="AF150" s="302"/>
      <c r="AG150" s="159"/>
      <c r="AH150" s="249"/>
      <c r="AI150" s="249"/>
      <c r="AJ150" s="249"/>
    </row>
    <row r="151" spans="1:36" s="49" customFormat="1" ht="30.75" customHeight="1" thickTop="1">
      <c r="A151" s="1002" t="s">
        <v>499</v>
      </c>
      <c r="B151" s="160">
        <v>54</v>
      </c>
      <c r="C151" s="160" t="s">
        <v>170</v>
      </c>
      <c r="D151" s="313" t="s">
        <v>136</v>
      </c>
      <c r="E151" s="76" t="s">
        <v>66</v>
      </c>
      <c r="F151" s="162"/>
      <c r="G151" s="362" t="s">
        <v>221</v>
      </c>
      <c r="H151" s="163">
        <v>0</v>
      </c>
      <c r="I151" s="201">
        <f>'CALCOLO VAC. E PEREQ 2020'!S105</f>
        <v>224.76999999999998</v>
      </c>
      <c r="J151" s="71">
        <f>2469.9*12</f>
        <v>29638.800000000003</v>
      </c>
      <c r="K151" s="613">
        <f>'CALCOLO VAC. E PEREQ 2020'!AE105</f>
        <v>24</v>
      </c>
      <c r="L151" s="71">
        <f>42.35*12</f>
        <v>508.20000000000005</v>
      </c>
      <c r="M151" s="71">
        <f>14.9*12</f>
        <v>178.8</v>
      </c>
      <c r="N151" s="71"/>
      <c r="O151" s="71"/>
      <c r="P151" s="71">
        <f>(51.9*12)</f>
        <v>622.79999999999995</v>
      </c>
      <c r="Q151" s="71">
        <f>ROUND((I151+J151+L151+M151+N151)/12,2)</f>
        <v>2545.88</v>
      </c>
      <c r="R151" s="71"/>
      <c r="S151" s="71">
        <f t="shared" ref="S151:S158" si="42">SUM(I151:R151)</f>
        <v>33743.25</v>
      </c>
      <c r="T151" s="71"/>
      <c r="U151" s="77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74"/>
      <c r="AI151" s="166"/>
      <c r="AJ151" s="166"/>
    </row>
    <row r="152" spans="1:36" s="49" customFormat="1">
      <c r="A152" s="1002"/>
      <c r="B152" s="64">
        <v>55</v>
      </c>
      <c r="C152" s="160" t="s">
        <v>172</v>
      </c>
      <c r="D152" s="282"/>
      <c r="E152" s="283" t="s">
        <v>66</v>
      </c>
      <c r="F152" s="284"/>
      <c r="G152" s="66" t="s">
        <v>159</v>
      </c>
      <c r="H152" s="68">
        <v>0</v>
      </c>
      <c r="I152" s="154">
        <f>'CALCOLO VAC. E PEREQ 2020'!S65</f>
        <v>162.37</v>
      </c>
      <c r="J152" s="153">
        <f>1784.15*12</f>
        <v>21409.800000000003</v>
      </c>
      <c r="K152" s="154">
        <f>'CALCOLO VAC. E PEREQ 2020'!AE65</f>
        <v>240</v>
      </c>
      <c r="L152" s="70"/>
      <c r="M152" s="70"/>
      <c r="N152" s="70"/>
      <c r="O152" s="70">
        <v>0</v>
      </c>
      <c r="P152" s="70">
        <f>45.8*12</f>
        <v>549.59999999999991</v>
      </c>
      <c r="Q152" s="71">
        <f t="shared" ref="Q152:Q158" si="43">ROUND((I152+J152+L152+M152+N152)/12,2)</f>
        <v>1797.68</v>
      </c>
      <c r="R152" s="201">
        <f>80.67*12</f>
        <v>968.04</v>
      </c>
      <c r="S152" s="71">
        <f t="shared" si="42"/>
        <v>25127.49</v>
      </c>
      <c r="T152" s="71"/>
      <c r="U152" s="77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74">
        <f>250.35*12</f>
        <v>3004.2</v>
      </c>
      <c r="AI152" s="166"/>
      <c r="AJ152" s="166"/>
    </row>
    <row r="153" spans="1:36" s="49" customFormat="1">
      <c r="A153" s="1002"/>
      <c r="B153" s="160">
        <v>56</v>
      </c>
      <c r="C153" s="160" t="s">
        <v>173</v>
      </c>
      <c r="D153" s="193" t="s">
        <v>174</v>
      </c>
      <c r="E153" s="76" t="s">
        <v>66</v>
      </c>
      <c r="F153" s="162"/>
      <c r="G153" s="76" t="s">
        <v>557</v>
      </c>
      <c r="H153" s="163">
        <v>0</v>
      </c>
      <c r="I153" s="201">
        <f>'CALCOLO VAC. E PEREQ 2020'!S84</f>
        <v>178.49</v>
      </c>
      <c r="J153" s="69">
        <f>1961.93*12</f>
        <v>23543.16</v>
      </c>
      <c r="K153" s="201">
        <f>'CALCOLO VAC. E PEREQ 2020'!AE84</f>
        <v>0</v>
      </c>
      <c r="L153" s="71">
        <f>(12.39*12)</f>
        <v>148.68</v>
      </c>
      <c r="M153" s="71"/>
      <c r="N153" s="71"/>
      <c r="O153" s="71">
        <v>0</v>
      </c>
      <c r="P153" s="71">
        <f>(45.8*12)</f>
        <v>549.59999999999991</v>
      </c>
      <c r="Q153" s="71">
        <f t="shared" si="43"/>
        <v>1989.19</v>
      </c>
      <c r="R153" s="201">
        <v>0</v>
      </c>
      <c r="S153" s="71">
        <f>SUM(I153:R153)</f>
        <v>26409.119999999999</v>
      </c>
      <c r="T153" s="71"/>
      <c r="U153" s="77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74">
        <f>(14.6*12)</f>
        <v>175.2</v>
      </c>
      <c r="AI153" s="166"/>
      <c r="AJ153" s="166"/>
    </row>
    <row r="154" spans="1:36" s="49" customFormat="1">
      <c r="A154" s="1002"/>
      <c r="B154" s="64">
        <v>57</v>
      </c>
      <c r="C154" s="87" t="s">
        <v>175</v>
      </c>
      <c r="D154" s="282"/>
      <c r="E154" s="283" t="s">
        <v>66</v>
      </c>
      <c r="F154" s="284"/>
      <c r="G154" s="283" t="s">
        <v>105</v>
      </c>
      <c r="H154" s="314">
        <v>0</v>
      </c>
      <c r="I154" s="100">
        <f>'CALCOLO VAC. E PEREQ 2020'!S92</f>
        <v>193.04999999999998</v>
      </c>
      <c r="J154" s="201">
        <f>2120.99*12</f>
        <v>25451.879999999997</v>
      </c>
      <c r="K154" s="100">
        <f>'CALCOLO VAC. E PEREQ 2020'!AE92</f>
        <v>108</v>
      </c>
      <c r="L154" s="69"/>
      <c r="M154" s="69"/>
      <c r="N154" s="69"/>
      <c r="O154" s="69">
        <v>0</v>
      </c>
      <c r="P154" s="69">
        <f>(51.9*12)</f>
        <v>622.79999999999995</v>
      </c>
      <c r="Q154" s="71">
        <f t="shared" si="43"/>
        <v>2137.08</v>
      </c>
      <c r="R154" s="100">
        <f>67.72*12</f>
        <v>812.64</v>
      </c>
      <c r="S154" s="92">
        <f t="shared" si="42"/>
        <v>29325.449999999997</v>
      </c>
      <c r="T154" s="92"/>
      <c r="U154" s="77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74"/>
      <c r="AI154" s="166"/>
      <c r="AJ154" s="166"/>
    </row>
    <row r="155" spans="1:36" s="49" customFormat="1" ht="30">
      <c r="A155" s="1002"/>
      <c r="B155" s="160">
        <v>58</v>
      </c>
      <c r="C155" s="619" t="s">
        <v>555</v>
      </c>
      <c r="D155" s="682"/>
      <c r="E155" s="683" t="s">
        <v>66</v>
      </c>
      <c r="F155" s="684"/>
      <c r="G155" s="683" t="s">
        <v>99</v>
      </c>
      <c r="H155" s="674">
        <v>0</v>
      </c>
      <c r="I155" s="675">
        <f>'CALCOLO VAC. E PEREQ 2020'!S78</f>
        <v>43.42</v>
      </c>
      <c r="J155" s="685">
        <f>1908.6*3</f>
        <v>5725.7999999999993</v>
      </c>
      <c r="K155" s="675">
        <f>'CALCOLO VAC. E PEREQ 2020'!AE78</f>
        <v>51</v>
      </c>
      <c r="L155" s="685">
        <f>33.02*3</f>
        <v>99.06</v>
      </c>
      <c r="M155" s="685"/>
      <c r="N155" s="685"/>
      <c r="O155" s="685">
        <v>0</v>
      </c>
      <c r="P155" s="685">
        <f>(45.8*3)</f>
        <v>137.39999999999998</v>
      </c>
      <c r="Q155" s="675">
        <f>ROUND((I155+J155+L155+M155+N155)/3,2)</f>
        <v>1956.09</v>
      </c>
      <c r="R155" s="685"/>
      <c r="S155" s="675">
        <f>SUM(I155:R155)</f>
        <v>8012.7699999999995</v>
      </c>
      <c r="T155" s="71"/>
      <c r="U155" s="77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74"/>
      <c r="AI155" s="166"/>
      <c r="AJ155" s="166"/>
    </row>
    <row r="156" spans="1:36" s="49" customFormat="1" ht="30">
      <c r="A156" s="1002"/>
      <c r="B156" s="160"/>
      <c r="C156" s="686" t="s">
        <v>718</v>
      </c>
      <c r="D156" s="687"/>
      <c r="E156" s="688" t="s">
        <v>66</v>
      </c>
      <c r="F156" s="689"/>
      <c r="G156" s="688" t="s">
        <v>2</v>
      </c>
      <c r="H156" s="678"/>
      <c r="I156" s="623">
        <f>'CALCOLO VAC. E PEREQ 2020'!S59</f>
        <v>77.155000000000001</v>
      </c>
      <c r="J156" s="690">
        <f>1695.34*6</f>
        <v>10172.039999999999</v>
      </c>
      <c r="K156" s="690">
        <f>'CALCOLO VAC. E PEREQ 2020'!AE58</f>
        <v>138</v>
      </c>
      <c r="L156" s="690"/>
      <c r="M156" s="690"/>
      <c r="N156" s="690"/>
      <c r="O156" s="690"/>
      <c r="P156" s="690">
        <f>(45.8*6)</f>
        <v>274.79999999999995</v>
      </c>
      <c r="Q156" s="623">
        <f>ROUND((I156+J156+L156+M156+N156)/6,2)</f>
        <v>1708.2</v>
      </c>
      <c r="R156" s="690"/>
      <c r="S156" s="623">
        <f>SUM(I156:R156)</f>
        <v>12370.195</v>
      </c>
      <c r="T156" s="71"/>
      <c r="U156" s="77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74"/>
      <c r="AI156" s="166"/>
      <c r="AJ156" s="166"/>
    </row>
    <row r="157" spans="1:36" s="49" customFormat="1">
      <c r="A157" s="1002"/>
      <c r="B157" s="64">
        <v>59</v>
      </c>
      <c r="C157" s="64" t="s">
        <v>176</v>
      </c>
      <c r="D157" s="75"/>
      <c r="E157" s="66" t="s">
        <v>66</v>
      </c>
      <c r="F157" s="67"/>
      <c r="G157" s="66" t="s">
        <v>128</v>
      </c>
      <c r="H157" s="68">
        <v>0</v>
      </c>
      <c r="I157" s="201">
        <f>'CALCOLO VAC. E PEREQ 2020'!S103</f>
        <v>201.24</v>
      </c>
      <c r="J157" s="201">
        <f>2211.57*12</f>
        <v>26538.840000000004</v>
      </c>
      <c r="K157" s="100">
        <f>'CALCOLO VAC. E PEREQ 2020'!AE103</f>
        <v>72</v>
      </c>
      <c r="L157" s="70">
        <f>28.4*12</f>
        <v>340.79999999999995</v>
      </c>
      <c r="M157" s="70"/>
      <c r="N157" s="70"/>
      <c r="O157" s="70">
        <v>0</v>
      </c>
      <c r="P157" s="70">
        <f>(51.9*12)</f>
        <v>622.79999999999995</v>
      </c>
      <c r="Q157" s="71">
        <f t="shared" si="43"/>
        <v>2256.7399999999998</v>
      </c>
      <c r="R157" s="201">
        <v>0</v>
      </c>
      <c r="S157" s="71">
        <f t="shared" si="42"/>
        <v>30032.420000000006</v>
      </c>
      <c r="T157" s="71"/>
      <c r="U157" s="77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74">
        <f>10.14*12</f>
        <v>121.68</v>
      </c>
      <c r="AI157" s="166"/>
      <c r="AJ157" s="166"/>
    </row>
    <row r="158" spans="1:36" s="223" customFormat="1" ht="34.5" customHeight="1" thickBot="1">
      <c r="A158" s="1003"/>
      <c r="B158" s="223">
        <v>60</v>
      </c>
      <c r="C158" s="95" t="s">
        <v>218</v>
      </c>
      <c r="E158" s="223" t="s">
        <v>66</v>
      </c>
      <c r="G158" s="226" t="s">
        <v>2</v>
      </c>
      <c r="H158" s="223">
        <v>0</v>
      </c>
      <c r="I158" s="201">
        <f>'CALCOLO VAC. E PEREQ 2020'!S41</f>
        <v>154.31</v>
      </c>
      <c r="J158" s="199">
        <f>1695.34*12</f>
        <v>20344.079999999998</v>
      </c>
      <c r="K158" s="360">
        <f>'CALCOLO VAC. E PEREQ 2020'!AE41</f>
        <v>276</v>
      </c>
      <c r="L158" s="223">
        <v>0</v>
      </c>
      <c r="O158" s="223">
        <v>0</v>
      </c>
      <c r="P158" s="100">
        <f>(45.8*12)</f>
        <v>549.59999999999991</v>
      </c>
      <c r="Q158" s="201">
        <f t="shared" si="43"/>
        <v>1708.2</v>
      </c>
      <c r="R158" s="223">
        <v>0</v>
      </c>
      <c r="S158" s="618">
        <f t="shared" si="42"/>
        <v>23032.19</v>
      </c>
      <c r="T158" s="223">
        <v>0</v>
      </c>
    </row>
    <row r="159" spans="1:36" s="49" customFormat="1" ht="17.25" thickTop="1" thickBot="1">
      <c r="D159" s="115"/>
      <c r="F159" s="116"/>
      <c r="H159" s="120">
        <f t="shared" ref="H159:T159" si="44">SUM(H151:H158)</f>
        <v>0</v>
      </c>
      <c r="I159" s="570">
        <f t="shared" si="44"/>
        <v>1234.8049999999998</v>
      </c>
      <c r="J159" s="120">
        <f t="shared" si="44"/>
        <v>162824.4</v>
      </c>
      <c r="K159" s="570">
        <f t="shared" si="44"/>
        <v>909</v>
      </c>
      <c r="L159" s="120">
        <f t="shared" si="44"/>
        <v>1096.74</v>
      </c>
      <c r="M159" s="120">
        <f t="shared" si="44"/>
        <v>178.8</v>
      </c>
      <c r="N159" s="120">
        <f t="shared" si="44"/>
        <v>0</v>
      </c>
      <c r="O159" s="120">
        <f t="shared" si="44"/>
        <v>0</v>
      </c>
      <c r="P159" s="120">
        <f t="shared" si="44"/>
        <v>3929.4</v>
      </c>
      <c r="Q159" s="119">
        <f>SUM(Q151:Q158)</f>
        <v>16099.060000000001</v>
      </c>
      <c r="R159" s="570">
        <f t="shared" si="44"/>
        <v>1780.6799999999998</v>
      </c>
      <c r="S159" s="119">
        <f>SUM(S151:S158)</f>
        <v>188052.88500000001</v>
      </c>
      <c r="T159" s="119">
        <f t="shared" si="44"/>
        <v>0</v>
      </c>
      <c r="U159" s="119"/>
      <c r="V159" s="120">
        <f>S159+T159-R159</f>
        <v>186272.20500000002</v>
      </c>
      <c r="W159" s="120">
        <f>S159-P159-R159-K159</f>
        <v>181433.80500000002</v>
      </c>
      <c r="X159" s="120">
        <f>S159+T159-R159</f>
        <v>186272.20500000002</v>
      </c>
      <c r="Y159" s="120">
        <v>0</v>
      </c>
      <c r="Z159" s="120">
        <f>S159+T159-R159</f>
        <v>186272.20500000002</v>
      </c>
      <c r="AA159" s="120">
        <f>ROUND((V159*23.8%),0)</f>
        <v>44333</v>
      </c>
      <c r="AB159" s="120">
        <f>ROUND((W159*2.88%),0)</f>
        <v>5225</v>
      </c>
      <c r="AC159" s="120">
        <v>0</v>
      </c>
      <c r="AD159" s="122">
        <f>ROUND((X159*0.5%),0)</f>
        <v>931</v>
      </c>
      <c r="AE159" s="122">
        <f>ROUND((Y159*1.61%),0)</f>
        <v>0</v>
      </c>
      <c r="AF159" s="120">
        <f>SUM(AA159:AE159)</f>
        <v>50489</v>
      </c>
      <c r="AG159" s="316">
        <f>ROUND((V159*8.5%),0)</f>
        <v>15833</v>
      </c>
      <c r="AH159" s="121">
        <f>SUM(AH151:AH158)</f>
        <v>3301.0799999999995</v>
      </c>
      <c r="AI159" s="121">
        <f>S159-R159+T159-AA160-AB160-AC160</f>
        <v>186272.20500000002</v>
      </c>
      <c r="AJ159" s="121">
        <f>ROUND((S159+T159-R159-AA160-AB160-AC160)*29%,0)</f>
        <v>54019</v>
      </c>
    </row>
    <row r="160" spans="1:36" s="49" customFormat="1" ht="17.25" thickTop="1" thickBot="1">
      <c r="D160" s="115"/>
      <c r="F160" s="116"/>
      <c r="I160" s="598"/>
      <c r="J160" s="123"/>
      <c r="K160" s="598"/>
      <c r="L160" s="123"/>
      <c r="M160" s="123"/>
      <c r="N160" s="123"/>
      <c r="O160" s="123"/>
      <c r="P160" s="123"/>
      <c r="Q160" s="124"/>
      <c r="R160" s="124"/>
      <c r="S160" s="124"/>
      <c r="T160" s="124"/>
      <c r="U160" s="124"/>
      <c r="V160" s="123"/>
      <c r="W160" s="123"/>
      <c r="X160" s="127"/>
      <c r="Y160" s="127"/>
      <c r="Z160" s="126"/>
      <c r="AA160" s="129"/>
      <c r="AB160" s="129"/>
      <c r="AC160" s="129"/>
      <c r="AD160" s="130"/>
      <c r="AE160" s="48"/>
      <c r="AF160" s="129"/>
      <c r="AG160" s="127"/>
      <c r="AH160" s="126"/>
      <c r="AI160" s="126"/>
      <c r="AJ160" s="126"/>
    </row>
    <row r="161" spans="1:36" s="49" customFormat="1" ht="16.5" hidden="1" thickTop="1">
      <c r="D161" s="115"/>
      <c r="F161" s="116"/>
      <c r="I161" s="598"/>
      <c r="J161" s="123"/>
      <c r="K161" s="598"/>
      <c r="L161" s="123"/>
      <c r="M161" s="123"/>
      <c r="N161" s="123"/>
      <c r="O161" s="123"/>
      <c r="P161" s="123"/>
      <c r="Q161" s="124"/>
      <c r="R161" s="645"/>
      <c r="S161" s="124"/>
      <c r="T161" s="124"/>
      <c r="U161" s="124"/>
      <c r="V161" s="123"/>
      <c r="W161" s="123"/>
      <c r="X161" s="127"/>
      <c r="Y161" s="127"/>
      <c r="Z161" s="126"/>
      <c r="AA161" s="130"/>
      <c r="AB161" s="130"/>
      <c r="AC161" s="130"/>
      <c r="AD161" s="130"/>
      <c r="AE161" s="48"/>
      <c r="AF161" s="130"/>
      <c r="AG161" s="127"/>
      <c r="AH161" s="126"/>
      <c r="AI161" s="126"/>
      <c r="AJ161" s="126"/>
    </row>
    <row r="162" spans="1:36" s="49" customFormat="1" ht="15.75" hidden="1">
      <c r="D162" s="115"/>
      <c r="F162" s="116"/>
      <c r="I162" s="598"/>
      <c r="J162" s="249"/>
      <c r="K162" s="598"/>
      <c r="L162" s="123"/>
      <c r="M162" s="123"/>
      <c r="N162" s="123"/>
      <c r="O162" s="123"/>
      <c r="P162" s="123"/>
      <c r="Q162" s="124"/>
      <c r="R162" s="124"/>
      <c r="S162" s="124"/>
      <c r="T162" s="124"/>
      <c r="U162" s="124"/>
      <c r="V162" s="123"/>
      <c r="W162" s="123"/>
      <c r="X162" s="127"/>
      <c r="Y162" s="127"/>
      <c r="Z162" s="126"/>
      <c r="AA162" s="126"/>
      <c r="AB162" s="126"/>
      <c r="AC162" s="126"/>
      <c r="AD162" s="48"/>
      <c r="AE162" s="48"/>
      <c r="AF162" s="126"/>
      <c r="AG162" s="127"/>
      <c r="AH162" s="126"/>
      <c r="AI162" s="126"/>
      <c r="AJ162" s="126"/>
    </row>
    <row r="163" spans="1:36" s="49" customFormat="1" ht="15.75" hidden="1" thickBot="1">
      <c r="B163" s="103"/>
      <c r="C163" s="148" t="s">
        <v>177</v>
      </c>
      <c r="D163" s="178" t="s">
        <v>178</v>
      </c>
      <c r="E163" s="185"/>
      <c r="F163" s="179" t="s">
        <v>108</v>
      </c>
      <c r="G163" s="185"/>
      <c r="H163" s="137">
        <f>(J163+K163+P163+Q163)*5.9%</f>
        <v>0</v>
      </c>
      <c r="I163" s="199"/>
      <c r="J163" s="114"/>
      <c r="K163" s="199"/>
      <c r="L163" s="138"/>
      <c r="M163" s="138"/>
      <c r="N163" s="138"/>
      <c r="O163" s="138">
        <v>0</v>
      </c>
      <c r="P163" s="138"/>
      <c r="Q163" s="139">
        <f>ROUND((J163+K163+L163+M163+N163)/12,2)</f>
        <v>0</v>
      </c>
      <c r="R163" s="139">
        <v>0</v>
      </c>
      <c r="S163" s="139">
        <f>SUM(J163:R163)</f>
        <v>0</v>
      </c>
      <c r="T163" s="139">
        <v>0</v>
      </c>
      <c r="U163" s="139"/>
      <c r="V163" s="140"/>
      <c r="W163" s="140"/>
      <c r="X163" s="140"/>
      <c r="Y163" s="140"/>
      <c r="Z163" s="140"/>
      <c r="AA163" s="140"/>
      <c r="AB163" s="140"/>
      <c r="AC163" s="103"/>
      <c r="AD163" s="140"/>
      <c r="AE163" s="140"/>
      <c r="AF163" s="140"/>
      <c r="AG163" s="140"/>
      <c r="AH163" s="140"/>
      <c r="AI163" s="140" t="s">
        <v>96</v>
      </c>
      <c r="AJ163" s="140" t="s">
        <v>96</v>
      </c>
    </row>
    <row r="164" spans="1:36" s="49" customFormat="1" ht="17.25" hidden="1" thickTop="1" thickBot="1">
      <c r="D164" s="115"/>
      <c r="E164" s="418"/>
      <c r="F164" s="116"/>
      <c r="H164" s="120">
        <f t="shared" ref="H164:Q164" si="45">SUM(H163:H163)</f>
        <v>0</v>
      </c>
      <c r="I164" s="570">
        <f t="shared" si="45"/>
        <v>0</v>
      </c>
      <c r="J164" s="120">
        <f t="shared" si="45"/>
        <v>0</v>
      </c>
      <c r="K164" s="570">
        <f t="shared" si="45"/>
        <v>0</v>
      </c>
      <c r="L164" s="120">
        <f t="shared" si="45"/>
        <v>0</v>
      </c>
      <c r="M164" s="120">
        <f t="shared" si="45"/>
        <v>0</v>
      </c>
      <c r="N164" s="120">
        <f t="shared" si="45"/>
        <v>0</v>
      </c>
      <c r="O164" s="120">
        <f t="shared" si="45"/>
        <v>0</v>
      </c>
      <c r="P164" s="120">
        <f t="shared" si="45"/>
        <v>0</v>
      </c>
      <c r="Q164" s="119">
        <f t="shared" si="45"/>
        <v>0</v>
      </c>
      <c r="R164" s="119">
        <f>SUM(R163)</f>
        <v>0</v>
      </c>
      <c r="S164" s="119">
        <f>SUM(S163:S163)</f>
        <v>0</v>
      </c>
      <c r="T164" s="119">
        <f>SUM(T163)</f>
        <v>0</v>
      </c>
      <c r="U164" s="119"/>
      <c r="V164" s="120">
        <f>S164+T164-R164</f>
        <v>0</v>
      </c>
      <c r="W164" s="120">
        <f>S164-P164-R164</f>
        <v>0</v>
      </c>
      <c r="X164" s="120">
        <f>S164+T164-R164</f>
        <v>0</v>
      </c>
      <c r="Y164" s="120">
        <f>S164+T164-R164</f>
        <v>0</v>
      </c>
      <c r="Z164" s="120">
        <f>S164+T164-R164</f>
        <v>0</v>
      </c>
      <c r="AA164" s="120">
        <f>ROUND((V164*23.8%),0)</f>
        <v>0</v>
      </c>
      <c r="AB164" s="120">
        <f>ROUND((W164*2.88%),0)</f>
        <v>0</v>
      </c>
      <c r="AC164" s="117">
        <v>0</v>
      </c>
      <c r="AD164" s="317">
        <f>ROUND((X164*0.5%),0)</f>
        <v>0</v>
      </c>
      <c r="AE164" s="318">
        <f>ROUND((Y164*1.61%),0)</f>
        <v>0</v>
      </c>
      <c r="AF164" s="117">
        <f>SUM(AA164:AE164)</f>
        <v>0</v>
      </c>
      <c r="AG164" s="318">
        <f>ROUND((V164*8.5%),0)</f>
        <v>0</v>
      </c>
      <c r="AH164" s="318">
        <f>SUM(AH163:AH163)</f>
        <v>0</v>
      </c>
      <c r="AI164" s="318">
        <f>S164-R164+T164-AA165-AB165-AC165</f>
        <v>0</v>
      </c>
      <c r="AJ164" s="318">
        <f>ROUND((S164+T164-R164-AA165-AB165-AC165)*29%,0)</f>
        <v>0</v>
      </c>
    </row>
    <row r="165" spans="1:36" s="49" customFormat="1" ht="17.25" hidden="1" thickTop="1" thickBot="1">
      <c r="D165" s="115"/>
      <c r="F165" s="116"/>
      <c r="I165" s="598"/>
      <c r="J165" s="123"/>
      <c r="K165" s="598"/>
      <c r="L165" s="123"/>
      <c r="M165" s="123"/>
      <c r="N165" s="123"/>
      <c r="O165" s="123"/>
      <c r="P165" s="123"/>
      <c r="Q165" s="124"/>
      <c r="R165" s="124"/>
      <c r="S165" s="124"/>
      <c r="T165" s="124"/>
      <c r="U165" s="124"/>
      <c r="V165" s="123"/>
      <c r="W165" s="123"/>
      <c r="X165" s="127"/>
      <c r="Y165" s="127"/>
      <c r="Z165" s="127"/>
      <c r="AA165" s="129"/>
      <c r="AB165" s="129"/>
      <c r="AC165" s="129"/>
      <c r="AD165" s="130"/>
      <c r="AE165" s="48"/>
      <c r="AF165" s="129"/>
      <c r="AG165" s="127"/>
      <c r="AH165" s="127"/>
      <c r="AI165" s="126"/>
      <c r="AJ165" s="126"/>
    </row>
    <row r="166" spans="1:36" s="49" customFormat="1" ht="16.5" hidden="1" thickTop="1">
      <c r="D166" s="115"/>
      <c r="F166" s="116"/>
      <c r="I166" s="598"/>
      <c r="J166" s="123"/>
      <c r="K166" s="598"/>
      <c r="L166" s="123"/>
      <c r="M166" s="123"/>
      <c r="N166" s="123"/>
      <c r="O166" s="123"/>
      <c r="P166" s="123"/>
      <c r="Q166" s="124"/>
      <c r="R166" s="124"/>
      <c r="S166" s="124"/>
      <c r="T166" s="124"/>
      <c r="U166" s="124"/>
      <c r="V166" s="123"/>
      <c r="W166" s="123"/>
      <c r="X166" s="127"/>
      <c r="Y166" s="127"/>
      <c r="Z166" s="127"/>
      <c r="AA166" s="130"/>
      <c r="AB166" s="130"/>
      <c r="AC166" s="130"/>
      <c r="AD166" s="130"/>
      <c r="AE166" s="48"/>
      <c r="AF166" s="130"/>
      <c r="AG166" s="127"/>
      <c r="AH166" s="127"/>
      <c r="AI166" s="126"/>
      <c r="AJ166" s="126"/>
    </row>
    <row r="167" spans="1:36" s="49" customFormat="1" ht="15.75" hidden="1">
      <c r="D167" s="115"/>
      <c r="F167" s="116"/>
      <c r="I167" s="598"/>
      <c r="J167" s="123"/>
      <c r="K167" s="598"/>
      <c r="L167" s="123"/>
      <c r="M167" s="123"/>
      <c r="N167" s="123"/>
      <c r="O167" s="123"/>
      <c r="P167" s="123"/>
      <c r="Q167" s="124"/>
      <c r="R167" s="124"/>
      <c r="S167" s="124"/>
      <c r="T167" s="124"/>
      <c r="U167" s="124"/>
      <c r="V167" s="123"/>
      <c r="W167" s="126"/>
      <c r="X167" s="127"/>
      <c r="Y167" s="127"/>
      <c r="Z167" s="126"/>
      <c r="AA167" s="130"/>
      <c r="AB167" s="130"/>
      <c r="AC167" s="130"/>
      <c r="AD167" s="48"/>
      <c r="AE167" s="48"/>
      <c r="AF167" s="130"/>
      <c r="AG167" s="127"/>
      <c r="AH167" s="126"/>
      <c r="AI167" s="126"/>
      <c r="AJ167" s="126"/>
    </row>
    <row r="168" spans="1:36" s="49" customFormat="1" ht="25.5" customHeight="1" thickTop="1">
      <c r="A168" s="931" t="s">
        <v>500</v>
      </c>
      <c r="B168" s="64">
        <v>61</v>
      </c>
      <c r="C168" s="586" t="s">
        <v>551</v>
      </c>
      <c r="D168" s="75"/>
      <c r="E168" s="66" t="s">
        <v>66</v>
      </c>
      <c r="F168" s="67"/>
      <c r="G168" s="66" t="s">
        <v>99</v>
      </c>
      <c r="H168" s="68">
        <v>0</v>
      </c>
      <c r="I168" s="201">
        <v>160.32</v>
      </c>
      <c r="J168" s="70">
        <f>1908.6*12</f>
        <v>22903.199999999997</v>
      </c>
      <c r="K168" s="201">
        <v>204</v>
      </c>
      <c r="L168" s="70">
        <f>(10.65+34.47)*12</f>
        <v>541.43999999999994</v>
      </c>
      <c r="M168" s="70"/>
      <c r="N168" s="70"/>
      <c r="O168" s="70">
        <f>(67.14+51.65)*12</f>
        <v>1425.48</v>
      </c>
      <c r="P168" s="70">
        <f>(45.8*12)</f>
        <v>549.59999999999991</v>
      </c>
      <c r="Q168" s="71">
        <f>ROUND((I168+J168+L168+M168+N168)/12,2)</f>
        <v>1967.08</v>
      </c>
      <c r="R168" s="71"/>
      <c r="S168" s="71">
        <f>SUM(I168:R168)</f>
        <v>27751.119999999995</v>
      </c>
      <c r="T168" s="71"/>
      <c r="U168" s="237" t="s">
        <v>179</v>
      </c>
      <c r="V168" s="319"/>
      <c r="W168" s="319"/>
      <c r="X168" s="261"/>
      <c r="Y168" s="261"/>
      <c r="Z168" s="261"/>
      <c r="AA168" s="320"/>
      <c r="AB168" s="320"/>
      <c r="AC168" s="320"/>
      <c r="AD168" s="320"/>
      <c r="AE168" s="321"/>
      <c r="AF168" s="320"/>
      <c r="AG168" s="261"/>
      <c r="AH168" s="322">
        <f>(277+277)*12</f>
        <v>6648</v>
      </c>
      <c r="AI168" s="319"/>
      <c r="AJ168" s="319"/>
    </row>
    <row r="169" spans="1:36" s="102" customFormat="1" ht="29.25" customHeight="1">
      <c r="A169" s="931"/>
      <c r="B169" s="223">
        <v>62</v>
      </c>
      <c r="C169" s="224" t="s">
        <v>732</v>
      </c>
      <c r="D169" s="232"/>
      <c r="E169" s="226"/>
      <c r="F169" s="252"/>
      <c r="G169" s="97" t="s">
        <v>157</v>
      </c>
      <c r="H169" s="228"/>
      <c r="I169" s="201">
        <f>'CALCOLO VAC. E PEREQ 2020'!S60</f>
        <v>157.95000000000002</v>
      </c>
      <c r="J169" s="201">
        <f>1735.77*12</f>
        <v>20829.239999999998</v>
      </c>
      <c r="K169" s="201">
        <f>'CALCOLO VAC. E PEREQ 2020'!AE60</f>
        <v>264</v>
      </c>
      <c r="L169" s="201"/>
      <c r="M169" s="201"/>
      <c r="N169" s="201"/>
      <c r="O169" s="201">
        <f>(67.14+51.65)*12</f>
        <v>1425.48</v>
      </c>
      <c r="P169" s="201">
        <f>(45.8*12)</f>
        <v>549.59999999999991</v>
      </c>
      <c r="Q169" s="71">
        <f t="shared" ref="Q169:Q175" si="46">ROUND((I169+J169+L169+M169+N169)/12,2)</f>
        <v>1748.93</v>
      </c>
      <c r="R169" s="201">
        <f>47.05*12</f>
        <v>564.59999999999991</v>
      </c>
      <c r="S169" s="201">
        <f t="shared" ref="S169:S175" si="47">SUM(I169:R169)</f>
        <v>25539.799999999996</v>
      </c>
      <c r="T169" s="201"/>
      <c r="U169" s="101"/>
      <c r="V169" s="230"/>
      <c r="W169" s="230"/>
      <c r="X169" s="172"/>
      <c r="Y169" s="172"/>
      <c r="Z169" s="172"/>
      <c r="AA169" s="233"/>
      <c r="AB169" s="233"/>
      <c r="AC169" s="233"/>
      <c r="AD169" s="233"/>
      <c r="AE169" s="234"/>
      <c r="AF169" s="233"/>
      <c r="AG169" s="172"/>
      <c r="AH169" s="235"/>
      <c r="AI169" s="230"/>
      <c r="AJ169" s="230"/>
    </row>
    <row r="170" spans="1:36" s="49" customFormat="1" ht="15.75">
      <c r="A170" s="931"/>
      <c r="B170" s="64">
        <v>63</v>
      </c>
      <c r="C170" s="64" t="s">
        <v>180</v>
      </c>
      <c r="D170" s="75"/>
      <c r="E170" s="66" t="s">
        <v>66</v>
      </c>
      <c r="F170" s="67"/>
      <c r="G170" s="76" t="s">
        <v>141</v>
      </c>
      <c r="H170" s="68">
        <v>0</v>
      </c>
      <c r="I170" s="201">
        <f>'CALCOLO VAC. E PEREQ 2020'!S27</f>
        <v>151.84</v>
      </c>
      <c r="J170" s="70">
        <f>1668.26*12</f>
        <v>20019.12</v>
      </c>
      <c r="K170" s="201">
        <f>'CALCOLO VAC. E PEREQ 2020'!AE27</f>
        <v>276</v>
      </c>
      <c r="L170" s="70"/>
      <c r="M170" s="70"/>
      <c r="N170" s="70"/>
      <c r="O170" s="70">
        <f>5.38*12</f>
        <v>64.56</v>
      </c>
      <c r="P170" s="70">
        <f>39.31*12</f>
        <v>471.72</v>
      </c>
      <c r="Q170" s="71">
        <f t="shared" si="46"/>
        <v>1680.91</v>
      </c>
      <c r="R170" s="71"/>
      <c r="S170" s="71">
        <f t="shared" si="47"/>
        <v>22664.15</v>
      </c>
      <c r="T170" s="71"/>
      <c r="U170" s="77"/>
      <c r="V170" s="323"/>
      <c r="W170" s="323"/>
      <c r="X170" s="166"/>
      <c r="Y170" s="166"/>
      <c r="Z170" s="166"/>
      <c r="AA170" s="324"/>
      <c r="AB170" s="324"/>
      <c r="AC170" s="324"/>
      <c r="AD170" s="324"/>
      <c r="AE170" s="325"/>
      <c r="AF170" s="324"/>
      <c r="AG170" s="166"/>
      <c r="AH170" s="326">
        <f>12.54*12</f>
        <v>150.47999999999999</v>
      </c>
      <c r="AI170" s="323"/>
      <c r="AJ170" s="323"/>
    </row>
    <row r="171" spans="1:36" s="49" customFormat="1" ht="15.75">
      <c r="A171" s="931"/>
      <c r="B171" s="160">
        <v>64</v>
      </c>
      <c r="C171" s="160" t="s">
        <v>181</v>
      </c>
      <c r="D171" s="193"/>
      <c r="E171" s="76" t="s">
        <v>66</v>
      </c>
      <c r="F171" s="162"/>
      <c r="G171" s="76" t="s">
        <v>141</v>
      </c>
      <c r="H171" s="68">
        <v>0</v>
      </c>
      <c r="I171" s="201">
        <f>'CALCOLO VAC. E PEREQ 2020'!S29</f>
        <v>151.84</v>
      </c>
      <c r="J171" s="70">
        <f>1668.26*12</f>
        <v>20019.12</v>
      </c>
      <c r="K171" s="201">
        <f>'CALCOLO VAC. E PEREQ 2020'!AE29</f>
        <v>276</v>
      </c>
      <c r="L171" s="70"/>
      <c r="M171" s="70"/>
      <c r="N171" s="70"/>
      <c r="O171" s="70">
        <f>5.38*12</f>
        <v>64.56</v>
      </c>
      <c r="P171" s="70">
        <f>(39.31*12)</f>
        <v>471.72</v>
      </c>
      <c r="Q171" s="71">
        <f t="shared" si="46"/>
        <v>1680.91</v>
      </c>
      <c r="R171" s="71"/>
      <c r="S171" s="71">
        <f>SUM(I171:R171)</f>
        <v>22664.15</v>
      </c>
      <c r="T171" s="71"/>
      <c r="U171" s="77"/>
      <c r="V171" s="323"/>
      <c r="W171" s="323"/>
      <c r="X171" s="166"/>
      <c r="Y171" s="166"/>
      <c r="Z171" s="166"/>
      <c r="AA171" s="324"/>
      <c r="AB171" s="324"/>
      <c r="AC171" s="324"/>
      <c r="AD171" s="324"/>
      <c r="AE171" s="325"/>
      <c r="AF171" s="324"/>
      <c r="AG171" s="166"/>
      <c r="AH171" s="326">
        <f>(12.54+238.62)*12</f>
        <v>3013.92</v>
      </c>
      <c r="AI171" s="323"/>
      <c r="AJ171" s="323"/>
    </row>
    <row r="172" spans="1:36" s="49" customFormat="1" ht="15.75">
      <c r="A172" s="931"/>
      <c r="B172" s="160">
        <v>65</v>
      </c>
      <c r="C172" s="160" t="s">
        <v>182</v>
      </c>
      <c r="D172" s="75"/>
      <c r="E172" s="66" t="s">
        <v>66</v>
      </c>
      <c r="F172" s="67"/>
      <c r="G172" s="76" t="s">
        <v>183</v>
      </c>
      <c r="H172" s="163">
        <v>0</v>
      </c>
      <c r="I172" s="201">
        <f>'CALCOLO VAC. E PEREQ 2020'!S20</f>
        <v>149.11000000000001</v>
      </c>
      <c r="J172" s="70">
        <f>1639.16*12</f>
        <v>19669.920000000002</v>
      </c>
      <c r="K172" s="201">
        <f>'CALCOLO VAC. E PEREQ 2020'!AE20</f>
        <v>276</v>
      </c>
      <c r="L172" s="70"/>
      <c r="M172" s="70"/>
      <c r="N172" s="70"/>
      <c r="O172" s="70">
        <f>5.38*12</f>
        <v>64.56</v>
      </c>
      <c r="P172" s="70">
        <f>(39.31*12)</f>
        <v>471.72</v>
      </c>
      <c r="Q172" s="71">
        <f t="shared" si="46"/>
        <v>1651.59</v>
      </c>
      <c r="R172" s="71"/>
      <c r="S172" s="71">
        <f>SUM(I172:R172)</f>
        <v>22282.900000000005</v>
      </c>
      <c r="T172" s="71"/>
      <c r="U172" s="77"/>
      <c r="V172" s="323"/>
      <c r="W172" s="323"/>
      <c r="X172" s="166"/>
      <c r="Y172" s="166"/>
      <c r="Z172" s="166"/>
      <c r="AA172" s="324"/>
      <c r="AB172" s="324"/>
      <c r="AC172" s="324"/>
      <c r="AD172" s="324"/>
      <c r="AE172" s="325"/>
      <c r="AF172" s="324"/>
      <c r="AG172" s="166"/>
      <c r="AH172" s="326">
        <f>12.33*12</f>
        <v>147.96</v>
      </c>
      <c r="AI172" s="323"/>
      <c r="AJ172" s="323"/>
    </row>
    <row r="173" spans="1:36" s="49" customFormat="1" ht="15.75">
      <c r="A173" s="931"/>
      <c r="B173" s="64">
        <v>66</v>
      </c>
      <c r="C173" s="315" t="s">
        <v>565</v>
      </c>
      <c r="D173" s="282"/>
      <c r="E173" s="283" t="s">
        <v>66</v>
      </c>
      <c r="F173" s="284"/>
      <c r="G173" s="66" t="s">
        <v>184</v>
      </c>
      <c r="H173" s="68">
        <v>0</v>
      </c>
      <c r="I173" s="201">
        <f>'CALCOLO VAC. E PEREQ 2020'!S80</f>
        <v>121.57599999999999</v>
      </c>
      <c r="J173" s="70">
        <f>1908.6*12*70%</f>
        <v>16032.239999999996</v>
      </c>
      <c r="K173" s="201">
        <f>'CALCOLO VAC. E PEREQ 2020'!AE80</f>
        <v>142.79999999999998</v>
      </c>
      <c r="L173" s="70">
        <f>3.35*12</f>
        <v>40.200000000000003</v>
      </c>
      <c r="M173" s="70"/>
      <c r="N173" s="70"/>
      <c r="O173" s="70">
        <f>((67.14+51.65)*12)*70%</f>
        <v>997.8359999999999</v>
      </c>
      <c r="P173" s="70">
        <f>(45.8*12)*70%</f>
        <v>384.71999999999991</v>
      </c>
      <c r="Q173" s="71">
        <f t="shared" si="46"/>
        <v>1349.5</v>
      </c>
      <c r="R173" s="71"/>
      <c r="S173" s="71">
        <f t="shared" si="47"/>
        <v>19068.871999999996</v>
      </c>
      <c r="T173" s="71"/>
      <c r="U173" s="77"/>
      <c r="V173" s="323"/>
      <c r="W173" s="323"/>
      <c r="X173" s="166"/>
      <c r="Y173" s="166"/>
      <c r="Z173" s="166"/>
      <c r="AA173" s="324"/>
      <c r="AB173" s="324"/>
      <c r="AC173" s="324"/>
      <c r="AD173" s="324"/>
      <c r="AE173" s="325"/>
      <c r="AF173" s="324"/>
      <c r="AG173" s="166"/>
      <c r="AH173" s="326"/>
      <c r="AI173" s="323"/>
      <c r="AJ173" s="323"/>
    </row>
    <row r="174" spans="1:36" s="49" customFormat="1" ht="15.75">
      <c r="A174" s="931"/>
      <c r="B174" s="160">
        <v>67</v>
      </c>
      <c r="C174" s="160" t="s">
        <v>185</v>
      </c>
      <c r="D174" s="75"/>
      <c r="E174" s="66" t="s">
        <v>66</v>
      </c>
      <c r="F174" s="67"/>
      <c r="G174" s="76" t="s">
        <v>141</v>
      </c>
      <c r="H174" s="68">
        <v>0</v>
      </c>
      <c r="I174" s="201">
        <f>'CALCOLO VAC. E PEREQ 2020'!S30</f>
        <v>151.84</v>
      </c>
      <c r="J174" s="70">
        <f>1668.26*12</f>
        <v>20019.12</v>
      </c>
      <c r="K174" s="201">
        <f>'CALCOLO VAC. E PEREQ 2020'!AE30</f>
        <v>276</v>
      </c>
      <c r="L174" s="70"/>
      <c r="M174" s="70"/>
      <c r="N174" s="70"/>
      <c r="O174" s="70">
        <f>5.38*12</f>
        <v>64.56</v>
      </c>
      <c r="P174" s="70">
        <f>(39.31*12)</f>
        <v>471.72</v>
      </c>
      <c r="Q174" s="71">
        <f t="shared" si="46"/>
        <v>1680.91</v>
      </c>
      <c r="R174" s="71"/>
      <c r="S174" s="71">
        <f>SUM(I174:R174)</f>
        <v>22664.15</v>
      </c>
      <c r="T174" s="71"/>
      <c r="U174" s="77"/>
      <c r="V174" s="323"/>
      <c r="W174" s="323"/>
      <c r="X174" s="166"/>
      <c r="Y174" s="166"/>
      <c r="Z174" s="166"/>
      <c r="AA174" s="324"/>
      <c r="AB174" s="324"/>
      <c r="AC174" s="324"/>
      <c r="AD174" s="324"/>
      <c r="AE174" s="325"/>
      <c r="AF174" s="324"/>
      <c r="AG174" s="166"/>
      <c r="AH174" s="326">
        <f>(259+12.54)*12</f>
        <v>3258.4800000000005</v>
      </c>
      <c r="AI174" s="323"/>
      <c r="AJ174" s="323"/>
    </row>
    <row r="175" spans="1:36" s="49" customFormat="1" ht="15.75">
      <c r="A175" s="931"/>
      <c r="B175" s="64">
        <v>68</v>
      </c>
      <c r="C175" s="64" t="s">
        <v>186</v>
      </c>
      <c r="D175" s="75"/>
      <c r="E175" s="66" t="s">
        <v>66</v>
      </c>
      <c r="F175" s="67"/>
      <c r="G175" s="76" t="s">
        <v>110</v>
      </c>
      <c r="H175" s="163">
        <v>0</v>
      </c>
      <c r="I175" s="201">
        <f>'CALCOLO VAC. E PEREQ 2020'!S70</f>
        <v>167.44</v>
      </c>
      <c r="J175" s="71">
        <f>1840.51*12</f>
        <v>22086.12</v>
      </c>
      <c r="K175" s="201">
        <f>'CALCOLO VAC. E PEREQ 2020'!AE70</f>
        <v>216</v>
      </c>
      <c r="L175" s="70"/>
      <c r="M175" s="70"/>
      <c r="N175" s="70"/>
      <c r="O175" s="70">
        <f>(67.14+51.65)*12</f>
        <v>1425.48</v>
      </c>
      <c r="P175" s="70">
        <f>(45.8*12)</f>
        <v>549.59999999999991</v>
      </c>
      <c r="Q175" s="71">
        <f t="shared" si="46"/>
        <v>1854.46</v>
      </c>
      <c r="R175" s="71">
        <f>72.68*12</f>
        <v>872.16000000000008</v>
      </c>
      <c r="S175" s="71">
        <f t="shared" si="47"/>
        <v>27171.259999999995</v>
      </c>
      <c r="T175" s="71">
        <v>0</v>
      </c>
      <c r="U175" s="77"/>
      <c r="V175" s="323"/>
      <c r="W175" s="323"/>
      <c r="X175" s="166"/>
      <c r="Y175" s="166"/>
      <c r="Z175" s="166"/>
      <c r="AA175" s="324"/>
      <c r="AB175" s="324"/>
      <c r="AC175" s="324"/>
      <c r="AD175" s="324"/>
      <c r="AE175" s="325"/>
      <c r="AF175" s="324"/>
      <c r="AG175" s="166"/>
      <c r="AH175" s="326"/>
      <c r="AI175" s="323"/>
      <c r="AJ175" s="323"/>
    </row>
    <row r="176" spans="1:36" s="191" customFormat="1" ht="16.5" thickBot="1">
      <c r="A176" s="931"/>
      <c r="B176" s="148"/>
      <c r="C176" s="289"/>
      <c r="D176" s="328"/>
      <c r="E176" s="329" t="s">
        <v>66</v>
      </c>
      <c r="F176" s="330"/>
      <c r="G176" s="150"/>
      <c r="H176" s="152">
        <f t="shared" ref="H176" si="48">(J176+K176+O176+P176+Q176)*3%</f>
        <v>0</v>
      </c>
      <c r="I176" s="202"/>
      <c r="J176" s="139"/>
      <c r="K176" s="199"/>
      <c r="L176" s="180"/>
      <c r="M176" s="180"/>
      <c r="N176" s="180"/>
      <c r="O176" s="139"/>
      <c r="P176" s="139"/>
      <c r="Q176" s="139"/>
      <c r="R176" s="180"/>
      <c r="S176" s="139"/>
      <c r="T176" s="139">
        <v>0</v>
      </c>
      <c r="U176" s="180"/>
      <c r="V176" s="331"/>
      <c r="W176" s="331"/>
      <c r="X176" s="332"/>
      <c r="Y176" s="332"/>
      <c r="Z176" s="332"/>
      <c r="AA176" s="333"/>
      <c r="AB176" s="333"/>
      <c r="AC176" s="333"/>
      <c r="AD176" s="333"/>
      <c r="AE176" s="334"/>
      <c r="AF176" s="333"/>
      <c r="AG176" s="332"/>
      <c r="AH176" s="335"/>
      <c r="AI176" s="331"/>
      <c r="AJ176" s="331"/>
    </row>
    <row r="177" spans="1:36" s="49" customFormat="1" ht="17.25" thickTop="1" thickBot="1">
      <c r="D177" s="115"/>
      <c r="F177" s="116"/>
      <c r="H177" s="120">
        <f t="shared" ref="H177:T177" si="49">SUM(H168:H176)</f>
        <v>0</v>
      </c>
      <c r="I177" s="570">
        <f t="shared" si="49"/>
        <v>1211.9160000000002</v>
      </c>
      <c r="J177" s="120">
        <f t="shared" si="49"/>
        <v>161578.07999999999</v>
      </c>
      <c r="K177" s="570">
        <f t="shared" si="49"/>
        <v>1930.8</v>
      </c>
      <c r="L177" s="120">
        <f t="shared" si="49"/>
        <v>581.64</v>
      </c>
      <c r="M177" s="120">
        <f t="shared" si="49"/>
        <v>0</v>
      </c>
      <c r="N177" s="120">
        <f t="shared" si="49"/>
        <v>0</v>
      </c>
      <c r="O177" s="120">
        <f t="shared" si="49"/>
        <v>5532.5159999999996</v>
      </c>
      <c r="P177" s="120">
        <f t="shared" si="49"/>
        <v>3920.3999999999992</v>
      </c>
      <c r="Q177" s="119">
        <f>SUM(Q168:Q176)</f>
        <v>13614.29</v>
      </c>
      <c r="R177" s="119">
        <f t="shared" si="49"/>
        <v>1436.76</v>
      </c>
      <c r="S177" s="119">
        <f t="shared" si="49"/>
        <v>189806.402</v>
      </c>
      <c r="T177" s="119">
        <f t="shared" si="49"/>
        <v>0</v>
      </c>
      <c r="U177" s="119"/>
      <c r="V177" s="120">
        <f>S177+T177-R177</f>
        <v>188369.64199999999</v>
      </c>
      <c r="W177" s="120">
        <f>S177-P177-R177-K177</f>
        <v>182518.44200000001</v>
      </c>
      <c r="X177" s="120">
        <f>S177+T177-R177</f>
        <v>188369.64199999999</v>
      </c>
      <c r="Y177" s="120">
        <v>0</v>
      </c>
      <c r="Z177" s="120">
        <f>S177+T177-R177</f>
        <v>188369.64199999999</v>
      </c>
      <c r="AA177" s="120">
        <f>ROUND((V177*23.8%),0)</f>
        <v>44832</v>
      </c>
      <c r="AB177" s="120">
        <f>ROUND((W177*2.88%),0)</f>
        <v>5257</v>
      </c>
      <c r="AC177" s="120">
        <v>0</v>
      </c>
      <c r="AD177" s="122">
        <f>ROUND((X177*2.3%),0)</f>
        <v>4333</v>
      </c>
      <c r="AE177" s="122">
        <f>ROUND((Y177*1.61%),0)</f>
        <v>0</v>
      </c>
      <c r="AF177" s="120">
        <f>SUM(AA177:AE177)</f>
        <v>54422</v>
      </c>
      <c r="AG177" s="316">
        <f>ROUND((V177*0%),0)</f>
        <v>0</v>
      </c>
      <c r="AH177" s="121">
        <f>SUM(AH170:AH176)</f>
        <v>6570.84</v>
      </c>
      <c r="AI177" s="121">
        <f>S177-R177+T177-AA178-AB178-AC178</f>
        <v>188369.64199999999</v>
      </c>
      <c r="AJ177" s="121">
        <f>ROUND((S177+T177-R177-AA178-AB178-AC178)*29%,0)</f>
        <v>54627</v>
      </c>
    </row>
    <row r="178" spans="1:36" s="49" customFormat="1" ht="17.25" thickTop="1" thickBot="1">
      <c r="D178" s="115"/>
      <c r="F178" s="116"/>
      <c r="I178" s="598"/>
      <c r="J178" s="123"/>
      <c r="K178" s="598"/>
      <c r="L178" s="123"/>
      <c r="M178" s="123"/>
      <c r="N178" s="123"/>
      <c r="O178" s="123"/>
      <c r="P178" s="123"/>
      <c r="Q178" s="124"/>
      <c r="R178" s="124"/>
      <c r="S178" s="124"/>
      <c r="T178" s="124"/>
      <c r="U178" s="124"/>
      <c r="V178" s="123"/>
      <c r="W178" s="123"/>
      <c r="X178" s="127"/>
      <c r="Y178" s="127"/>
      <c r="Z178" s="126"/>
      <c r="AA178" s="129"/>
      <c r="AB178" s="129"/>
      <c r="AC178" s="129"/>
      <c r="AD178" s="130"/>
      <c r="AE178" s="48"/>
      <c r="AF178" s="129"/>
      <c r="AG178" s="127"/>
      <c r="AH178" s="126"/>
      <c r="AI178" s="126"/>
      <c r="AJ178" s="126"/>
    </row>
    <row r="179" spans="1:36" s="49" customFormat="1" ht="16.5" hidden="1" thickTop="1">
      <c r="D179" s="115"/>
      <c r="F179" s="116"/>
      <c r="I179" s="599"/>
      <c r="J179" s="123"/>
      <c r="K179" s="598"/>
      <c r="L179" s="123"/>
      <c r="M179" s="123"/>
      <c r="N179" s="123"/>
      <c r="O179" s="123"/>
      <c r="P179" s="123"/>
      <c r="Q179" s="124"/>
      <c r="R179" s="124"/>
      <c r="S179" s="124"/>
      <c r="T179" s="124"/>
      <c r="U179" s="124"/>
      <c r="V179" s="123"/>
      <c r="W179" s="123"/>
      <c r="X179" s="127"/>
      <c r="Y179" s="127"/>
      <c r="Z179" s="126"/>
      <c r="AA179" s="130"/>
      <c r="AB179" s="130"/>
      <c r="AC179" s="130"/>
      <c r="AD179" s="130"/>
      <c r="AE179" s="48"/>
      <c r="AF179" s="130"/>
      <c r="AG179" s="127"/>
      <c r="AH179" s="126"/>
      <c r="AI179" s="126"/>
      <c r="AJ179" s="126"/>
    </row>
    <row r="180" spans="1:36" s="49" customFormat="1" ht="15.75" hidden="1">
      <c r="D180" s="115"/>
      <c r="F180" s="116"/>
      <c r="I180" s="598"/>
      <c r="J180" s="249"/>
      <c r="K180" s="598"/>
      <c r="L180" s="123"/>
      <c r="M180" s="123"/>
      <c r="N180" s="123"/>
      <c r="O180" s="123"/>
      <c r="P180" s="123"/>
      <c r="Q180" s="124"/>
      <c r="R180" s="124"/>
      <c r="S180" s="124"/>
      <c r="T180" s="124"/>
      <c r="U180" s="124"/>
      <c r="V180" s="123"/>
      <c r="W180" s="123"/>
      <c r="X180" s="127"/>
      <c r="Y180" s="127"/>
      <c r="Z180" s="127"/>
      <c r="AA180" s="130"/>
      <c r="AB180" s="130"/>
      <c r="AC180" s="130"/>
      <c r="AD180" s="130"/>
      <c r="AE180" s="48"/>
      <c r="AF180" s="130"/>
      <c r="AG180" s="127"/>
      <c r="AH180" s="127"/>
      <c r="AI180" s="126"/>
      <c r="AJ180" s="126"/>
    </row>
    <row r="181" spans="1:36" s="49" customFormat="1" ht="15.75" hidden="1" thickBot="1">
      <c r="B181" s="103"/>
      <c r="C181" s="148" t="s">
        <v>187</v>
      </c>
      <c r="D181" s="178" t="s">
        <v>178</v>
      </c>
      <c r="E181" s="185"/>
      <c r="F181" s="179" t="s">
        <v>108</v>
      </c>
      <c r="G181" s="185"/>
      <c r="H181" s="137">
        <f>(J181+K181+P181+Q181)*5.9%</f>
        <v>0</v>
      </c>
      <c r="I181" s="199"/>
      <c r="J181" s="114"/>
      <c r="K181" s="199"/>
      <c r="L181" s="138"/>
      <c r="M181" s="138"/>
      <c r="N181" s="138"/>
      <c r="O181" s="138">
        <v>0</v>
      </c>
      <c r="P181" s="138"/>
      <c r="Q181" s="139">
        <f>ROUND((J181+K181+L181+M181+N181)/12,2)</f>
        <v>0</v>
      </c>
      <c r="R181" s="139">
        <v>0</v>
      </c>
      <c r="S181" s="139">
        <f>SUM(J181:R181)</f>
        <v>0</v>
      </c>
      <c r="T181" s="139">
        <v>0</v>
      </c>
      <c r="U181" s="139"/>
      <c r="V181" s="140"/>
      <c r="W181" s="140"/>
      <c r="X181" s="140"/>
      <c r="Y181" s="140"/>
      <c r="Z181" s="140"/>
      <c r="AA181" s="140"/>
      <c r="AB181" s="140"/>
      <c r="AC181" s="103"/>
      <c r="AD181" s="140"/>
      <c r="AE181" s="140"/>
      <c r="AF181" s="140"/>
      <c r="AG181" s="140"/>
      <c r="AH181" s="140"/>
      <c r="AI181" s="140" t="s">
        <v>96</v>
      </c>
      <c r="AJ181" s="140" t="s">
        <v>96</v>
      </c>
    </row>
    <row r="182" spans="1:36" s="49" customFormat="1" ht="17.25" hidden="1" thickTop="1" thickBot="1">
      <c r="D182" s="115"/>
      <c r="E182" s="418"/>
      <c r="F182" s="116"/>
      <c r="H182" s="120">
        <f t="shared" ref="H182:Q182" si="50">SUM(H181:H181)</f>
        <v>0</v>
      </c>
      <c r="I182" s="570">
        <f t="shared" si="50"/>
        <v>0</v>
      </c>
      <c r="J182" s="120">
        <f t="shared" si="50"/>
        <v>0</v>
      </c>
      <c r="K182" s="570">
        <f t="shared" si="50"/>
        <v>0</v>
      </c>
      <c r="L182" s="120">
        <f t="shared" si="50"/>
        <v>0</v>
      </c>
      <c r="M182" s="120">
        <f t="shared" si="50"/>
        <v>0</v>
      </c>
      <c r="N182" s="120">
        <f t="shared" si="50"/>
        <v>0</v>
      </c>
      <c r="O182" s="120">
        <f t="shared" si="50"/>
        <v>0</v>
      </c>
      <c r="P182" s="120">
        <f t="shared" si="50"/>
        <v>0</v>
      </c>
      <c r="Q182" s="119">
        <f t="shared" si="50"/>
        <v>0</v>
      </c>
      <c r="R182" s="119">
        <f>SUM(R181)</f>
        <v>0</v>
      </c>
      <c r="S182" s="119">
        <f>SUM(S181:S181)</f>
        <v>0</v>
      </c>
      <c r="T182" s="119">
        <f>SUM(T181)</f>
        <v>0</v>
      </c>
      <c r="U182" s="119"/>
      <c r="V182" s="120">
        <f>S182+T182-R182</f>
        <v>0</v>
      </c>
      <c r="W182" s="120">
        <f>S182-P182-R182</f>
        <v>0</v>
      </c>
      <c r="X182" s="120">
        <f>S182+T182-R182</f>
        <v>0</v>
      </c>
      <c r="Y182" s="120">
        <f>S182+T182-R182</f>
        <v>0</v>
      </c>
      <c r="Z182" s="120">
        <f>S182+T182-R182</f>
        <v>0</v>
      </c>
      <c r="AA182" s="120">
        <f>ROUND((V182*23.8%),0)</f>
        <v>0</v>
      </c>
      <c r="AB182" s="120">
        <f>ROUND((W182*2.88%),0)</f>
        <v>0</v>
      </c>
      <c r="AC182" s="117">
        <v>0</v>
      </c>
      <c r="AD182" s="317">
        <f>ROUND((X182*2.5%),0)</f>
        <v>0</v>
      </c>
      <c r="AE182" s="318">
        <f>ROUND((Y182*1.61%),0)</f>
        <v>0</v>
      </c>
      <c r="AF182" s="117">
        <f>SUM(AA182:AE182)</f>
        <v>0</v>
      </c>
      <c r="AG182" s="318">
        <f>ROUND((V182*0%),0)</f>
        <v>0</v>
      </c>
      <c r="AH182" s="318">
        <f>SUM(AH181:AH181)</f>
        <v>0</v>
      </c>
      <c r="AI182" s="318">
        <f>S182-R182+T182-AA183-AB183-AC183</f>
        <v>0</v>
      </c>
      <c r="AJ182" s="318">
        <f>ROUND((S182+T182-R182-AA183-AB183-AC183)*29%,0)</f>
        <v>0</v>
      </c>
    </row>
    <row r="183" spans="1:36" s="49" customFormat="1" ht="17.25" hidden="1" thickTop="1" thickBot="1">
      <c r="D183" s="115"/>
      <c r="F183" s="116"/>
      <c r="I183" s="598"/>
      <c r="J183" s="123"/>
      <c r="K183" s="598"/>
      <c r="L183" s="123"/>
      <c r="M183" s="123"/>
      <c r="N183" s="123"/>
      <c r="O183" s="123"/>
      <c r="P183" s="123"/>
      <c r="Q183" s="124"/>
      <c r="R183" s="124"/>
      <c r="S183" s="124"/>
      <c r="T183" s="124"/>
      <c r="U183" s="124"/>
      <c r="V183" s="123"/>
      <c r="W183" s="123"/>
      <c r="X183" s="127"/>
      <c r="Y183" s="127"/>
      <c r="Z183" s="127"/>
      <c r="AA183" s="129"/>
      <c r="AB183" s="129"/>
      <c r="AC183" s="129"/>
      <c r="AD183" s="130"/>
      <c r="AE183" s="48"/>
      <c r="AF183" s="129"/>
      <c r="AG183" s="127"/>
      <c r="AH183" s="127"/>
      <c r="AI183" s="126"/>
      <c r="AJ183" s="126"/>
    </row>
    <row r="184" spans="1:36" s="49" customFormat="1" ht="16.5" hidden="1" thickTop="1">
      <c r="D184" s="115"/>
      <c r="F184" s="116"/>
      <c r="I184" s="598"/>
      <c r="J184" s="123"/>
      <c r="K184" s="598"/>
      <c r="L184" s="123"/>
      <c r="M184" s="123"/>
      <c r="N184" s="123"/>
      <c r="O184" s="123"/>
      <c r="P184" s="123"/>
      <c r="Q184" s="124"/>
      <c r="R184" s="124"/>
      <c r="S184" s="124"/>
      <c r="T184" s="124"/>
      <c r="U184" s="124"/>
      <c r="V184" s="123"/>
      <c r="W184" s="123"/>
      <c r="X184" s="127"/>
      <c r="Y184" s="127"/>
      <c r="Z184" s="127"/>
      <c r="AA184" s="130"/>
      <c r="AB184" s="130"/>
      <c r="AC184" s="130"/>
      <c r="AD184" s="130"/>
      <c r="AE184" s="48"/>
      <c r="AF184" s="130"/>
      <c r="AG184" s="127"/>
      <c r="AH184" s="127"/>
      <c r="AI184" s="126"/>
      <c r="AJ184" s="126"/>
    </row>
    <row r="185" spans="1:36" s="49" customFormat="1" ht="16.5" hidden="1" thickTop="1">
      <c r="D185" s="115"/>
      <c r="F185" s="116"/>
      <c r="I185" s="598"/>
      <c r="J185" s="123"/>
      <c r="K185" s="598"/>
      <c r="L185" s="123"/>
      <c r="M185" s="123"/>
      <c r="N185" s="123"/>
      <c r="O185" s="123"/>
      <c r="P185" s="123"/>
      <c r="Q185" s="124"/>
      <c r="R185" s="124"/>
      <c r="S185" s="124"/>
      <c r="T185" s="124"/>
      <c r="U185" s="124"/>
      <c r="V185" s="123"/>
      <c r="W185" s="123"/>
      <c r="X185" s="127"/>
      <c r="Y185" s="127"/>
      <c r="Z185" s="127"/>
      <c r="AA185" s="130"/>
      <c r="AB185" s="130"/>
      <c r="AC185" s="130"/>
      <c r="AD185" s="130"/>
      <c r="AE185" s="48"/>
      <c r="AF185" s="130"/>
      <c r="AG185" s="127"/>
      <c r="AH185" s="127"/>
      <c r="AI185" s="126"/>
      <c r="AJ185" s="126"/>
    </row>
    <row r="186" spans="1:36" s="49" customFormat="1" ht="16.5" thickTop="1">
      <c r="D186" s="115"/>
      <c r="F186" s="116"/>
      <c r="I186" s="598"/>
      <c r="J186" s="123"/>
      <c r="K186" s="598"/>
      <c r="L186" s="123"/>
      <c r="M186" s="123"/>
      <c r="N186" s="123"/>
      <c r="O186" s="123"/>
      <c r="P186" s="123"/>
      <c r="Q186" s="124"/>
      <c r="R186" s="124"/>
      <c r="S186" s="124"/>
      <c r="T186" s="124"/>
      <c r="U186" s="124"/>
      <c r="V186" s="123"/>
      <c r="W186" s="123"/>
      <c r="X186" s="127"/>
      <c r="Y186" s="127"/>
      <c r="Z186" s="127"/>
      <c r="AA186" s="130"/>
      <c r="AB186" s="130"/>
      <c r="AC186" s="130"/>
      <c r="AD186" s="130"/>
      <c r="AE186" s="48"/>
      <c r="AF186" s="130"/>
      <c r="AG186" s="127"/>
      <c r="AH186" s="127"/>
      <c r="AI186" s="126"/>
      <c r="AJ186" s="126"/>
    </row>
    <row r="187" spans="1:36" s="49" customFormat="1" ht="15.75">
      <c r="A187" s="931" t="s">
        <v>501</v>
      </c>
      <c r="B187" s="160">
        <v>69</v>
      </c>
      <c r="C187" s="160" t="s">
        <v>188</v>
      </c>
      <c r="D187" s="313" t="s">
        <v>98</v>
      </c>
      <c r="E187" s="76" t="s">
        <v>66</v>
      </c>
      <c r="F187" s="162"/>
      <c r="G187" s="66" t="s">
        <v>143</v>
      </c>
      <c r="H187" s="68">
        <v>0</v>
      </c>
      <c r="I187" s="201">
        <f>'CALCOLO VAC. E PEREQ 2020'!S18</f>
        <v>146.63999999999999</v>
      </c>
      <c r="J187" s="70">
        <f>1611.94*12</f>
        <v>19343.28</v>
      </c>
      <c r="K187" s="201">
        <f>'CALCOLO VAC. E PEREQ 2020'!AE18</f>
        <v>288</v>
      </c>
      <c r="L187" s="70">
        <f>33.02*12</f>
        <v>396.24</v>
      </c>
      <c r="M187" s="70"/>
      <c r="N187" s="70"/>
      <c r="O187" s="70"/>
      <c r="P187" s="70">
        <f>(39.31*12)</f>
        <v>471.72</v>
      </c>
      <c r="Q187" s="71">
        <f>ROUND((I187+J187+L187+M187+N187)/12,2)</f>
        <v>1657.18</v>
      </c>
      <c r="R187" s="201"/>
      <c r="S187" s="71">
        <f>SUM(I187:R187)</f>
        <v>22303.06</v>
      </c>
      <c r="T187" s="71"/>
      <c r="U187" s="72"/>
      <c r="V187" s="319"/>
      <c r="W187" s="319"/>
      <c r="X187" s="261"/>
      <c r="Y187" s="261"/>
      <c r="Z187" s="261"/>
      <c r="AA187" s="320"/>
      <c r="AB187" s="320"/>
      <c r="AC187" s="320"/>
      <c r="AD187" s="320"/>
      <c r="AE187" s="321"/>
      <c r="AF187" s="320"/>
      <c r="AG187" s="261"/>
      <c r="AH187" s="322">
        <f>12.15*12</f>
        <v>145.80000000000001</v>
      </c>
      <c r="AI187" s="319"/>
      <c r="AJ187" s="319"/>
    </row>
    <row r="188" spans="1:36" s="49" customFormat="1" ht="36.75" hidden="1" customHeight="1">
      <c r="A188" s="931"/>
      <c r="B188" s="336"/>
      <c r="C188" s="337"/>
      <c r="D188" s="193"/>
      <c r="E188" s="76" t="s">
        <v>66</v>
      </c>
      <c r="F188" s="162"/>
      <c r="G188" s="76"/>
      <c r="H188" s="68">
        <f t="shared" ref="H188:H194" si="51">(J188+K188+P188+Q188)*3%</f>
        <v>0</v>
      </c>
      <c r="I188" s="201"/>
      <c r="J188" s="70">
        <v>0</v>
      </c>
      <c r="K188" s="100"/>
      <c r="L188" s="70"/>
      <c r="M188" s="70"/>
      <c r="N188" s="70"/>
      <c r="O188" s="70">
        <v>0</v>
      </c>
      <c r="P188" s="70">
        <v>0</v>
      </c>
      <c r="Q188" s="71">
        <f t="shared" ref="Q188:Q194" si="52">ROUND((I188+J188+L188+M188+N188)/12,2)</f>
        <v>0</v>
      </c>
      <c r="R188" s="201"/>
      <c r="S188" s="71">
        <f t="shared" ref="S188:S194" si="53">SUM(I188:R188)</f>
        <v>0</v>
      </c>
      <c r="T188" s="71"/>
      <c r="U188" s="237"/>
      <c r="V188" s="323"/>
      <c r="W188" s="323"/>
      <c r="X188" s="166"/>
      <c r="Y188" s="166"/>
      <c r="Z188" s="166"/>
      <c r="AA188" s="324"/>
      <c r="AB188" s="324"/>
      <c r="AC188" s="324"/>
      <c r="AD188" s="324"/>
      <c r="AE188" s="325"/>
      <c r="AF188" s="324"/>
      <c r="AG188" s="166"/>
      <c r="AH188" s="326">
        <f>12.54*12</f>
        <v>150.47999999999999</v>
      </c>
      <c r="AI188" s="323"/>
      <c r="AJ188" s="323"/>
    </row>
    <row r="189" spans="1:36" s="49" customFormat="1" ht="15.75">
      <c r="A189" s="931"/>
      <c r="B189" s="160">
        <v>70</v>
      </c>
      <c r="C189" s="160" t="s">
        <v>189</v>
      </c>
      <c r="D189" s="193"/>
      <c r="E189" s="76" t="s">
        <v>66</v>
      </c>
      <c r="F189" s="162"/>
      <c r="G189" s="76" t="s">
        <v>141</v>
      </c>
      <c r="H189" s="68">
        <v>0</v>
      </c>
      <c r="I189" s="201">
        <f>'CALCOLO VAC. E PEREQ 2020'!S28</f>
        <v>151.84</v>
      </c>
      <c r="J189" s="70">
        <f>1668.26*12</f>
        <v>20019.12</v>
      </c>
      <c r="K189" s="201">
        <f>'CALCOLO VAC. E PEREQ 2020'!AE28</f>
        <v>276</v>
      </c>
      <c r="L189" s="70"/>
      <c r="M189" s="70"/>
      <c r="N189" s="70"/>
      <c r="O189" s="70">
        <f>5.38*12</f>
        <v>64.56</v>
      </c>
      <c r="P189" s="70">
        <f>(39.31*12)</f>
        <v>471.72</v>
      </c>
      <c r="Q189" s="71">
        <f t="shared" si="52"/>
        <v>1680.91</v>
      </c>
      <c r="R189" s="201"/>
      <c r="S189" s="71">
        <f t="shared" si="53"/>
        <v>22664.15</v>
      </c>
      <c r="T189" s="71"/>
      <c r="U189" s="77"/>
      <c r="V189" s="323"/>
      <c r="W189" s="323"/>
      <c r="X189" s="166"/>
      <c r="Y189" s="166"/>
      <c r="Z189" s="166"/>
      <c r="AA189" s="324"/>
      <c r="AB189" s="324"/>
      <c r="AC189" s="324"/>
      <c r="AD189" s="324"/>
      <c r="AE189" s="325"/>
      <c r="AF189" s="324"/>
      <c r="AG189" s="166"/>
      <c r="AH189" s="326">
        <f>12.54*12</f>
        <v>150.47999999999999</v>
      </c>
      <c r="AI189" s="323"/>
      <c r="AJ189" s="323"/>
    </row>
    <row r="190" spans="1:36" s="49" customFormat="1" ht="15.75">
      <c r="A190" s="931"/>
      <c r="B190" s="160">
        <v>71</v>
      </c>
      <c r="C190" s="160" t="s">
        <v>190</v>
      </c>
      <c r="D190" s="75"/>
      <c r="E190" s="66" t="s">
        <v>66</v>
      </c>
      <c r="F190" s="67"/>
      <c r="G190" s="76" t="s">
        <v>183</v>
      </c>
      <c r="H190" s="163">
        <v>0</v>
      </c>
      <c r="I190" s="201">
        <f>'CALCOLO VAC. E PEREQ 2020'!S21</f>
        <v>149.11000000000001</v>
      </c>
      <c r="J190" s="70">
        <f>1639.16*12</f>
        <v>19669.920000000002</v>
      </c>
      <c r="K190" s="201">
        <f>'CALCOLO VAC. E PEREQ 2020'!AE21</f>
        <v>276</v>
      </c>
      <c r="L190" s="70"/>
      <c r="M190" s="70"/>
      <c r="N190" s="70"/>
      <c r="O190" s="70">
        <f>5.38*12</f>
        <v>64.56</v>
      </c>
      <c r="P190" s="70">
        <f>(39.31*12)</f>
        <v>471.72</v>
      </c>
      <c r="Q190" s="71">
        <f t="shared" si="52"/>
        <v>1651.59</v>
      </c>
      <c r="R190" s="201">
        <v>0</v>
      </c>
      <c r="S190" s="71">
        <f t="shared" si="53"/>
        <v>22282.900000000005</v>
      </c>
      <c r="T190" s="71"/>
      <c r="U190" s="77"/>
      <c r="V190" s="323"/>
      <c r="W190" s="323"/>
      <c r="X190" s="166"/>
      <c r="Y190" s="166"/>
      <c r="Z190" s="166"/>
      <c r="AA190" s="324"/>
      <c r="AB190" s="324"/>
      <c r="AC190" s="324"/>
      <c r="AD190" s="324"/>
      <c r="AE190" s="325"/>
      <c r="AF190" s="324"/>
      <c r="AG190" s="166"/>
      <c r="AH190" s="326">
        <f>(220+239+12.33)*12</f>
        <v>5655.96</v>
      </c>
      <c r="AI190" s="323"/>
      <c r="AJ190" s="323"/>
    </row>
    <row r="191" spans="1:36" s="49" customFormat="1" ht="15.75">
      <c r="A191" s="931"/>
      <c r="B191" s="160">
        <v>72</v>
      </c>
      <c r="C191" s="160" t="s">
        <v>191</v>
      </c>
      <c r="D191" s="75"/>
      <c r="E191" s="66" t="s">
        <v>66</v>
      </c>
      <c r="F191" s="67"/>
      <c r="G191" s="76" t="s">
        <v>141</v>
      </c>
      <c r="H191" s="68">
        <v>0</v>
      </c>
      <c r="I191" s="201">
        <f>'CALCOLO VAC. E PEREQ 2020'!S31</f>
        <v>151.84</v>
      </c>
      <c r="J191" s="70">
        <f>1668.26*12</f>
        <v>20019.12</v>
      </c>
      <c r="K191" s="201">
        <f>'CALCOLO VAC. E PEREQ 2020'!AE31</f>
        <v>276</v>
      </c>
      <c r="L191" s="70"/>
      <c r="M191" s="70"/>
      <c r="N191" s="70"/>
      <c r="O191" s="70">
        <f>5.38*12</f>
        <v>64.56</v>
      </c>
      <c r="P191" s="70">
        <f>(39.31*12)</f>
        <v>471.72</v>
      </c>
      <c r="Q191" s="71">
        <f t="shared" si="52"/>
        <v>1680.91</v>
      </c>
      <c r="R191" s="201"/>
      <c r="S191" s="71">
        <f t="shared" si="53"/>
        <v>22664.15</v>
      </c>
      <c r="T191" s="71"/>
      <c r="U191" s="77"/>
      <c r="V191" s="323"/>
      <c r="W191" s="323"/>
      <c r="X191" s="166"/>
      <c r="Y191" s="166"/>
      <c r="Z191" s="166"/>
      <c r="AA191" s="324"/>
      <c r="AB191" s="324"/>
      <c r="AC191" s="324"/>
      <c r="AD191" s="324"/>
      <c r="AE191" s="325"/>
      <c r="AF191" s="324"/>
      <c r="AG191" s="166"/>
      <c r="AH191" s="326">
        <f>12.54*12</f>
        <v>150.47999999999999</v>
      </c>
      <c r="AI191" s="323"/>
      <c r="AJ191" s="323"/>
    </row>
    <row r="192" spans="1:36" s="102" customFormat="1" ht="30">
      <c r="A192" s="931"/>
      <c r="B192" s="223">
        <v>73</v>
      </c>
      <c r="C192" s="231" t="s">
        <v>192</v>
      </c>
      <c r="D192" s="232"/>
      <c r="E192" s="226" t="s">
        <v>66</v>
      </c>
      <c r="F192" s="252"/>
      <c r="G192" s="292" t="s">
        <v>121</v>
      </c>
      <c r="H192" s="293">
        <v>0</v>
      </c>
      <c r="I192" s="154">
        <f>'CALCOLO VAC. E PEREQ 2020'!S87</f>
        <v>125.8725</v>
      </c>
      <c r="J192" s="154">
        <f>(1844.62*12)*75%</f>
        <v>16601.579999999998</v>
      </c>
      <c r="K192" s="154">
        <f>'CALCOLO VAC. E PEREQ 2020'!AE87</f>
        <v>171</v>
      </c>
      <c r="L192" s="201"/>
      <c r="M192" s="201"/>
      <c r="N192" s="201"/>
      <c r="O192" s="201"/>
      <c r="P192" s="154">
        <f>(51.9*12)*75%</f>
        <v>467.09999999999997</v>
      </c>
      <c r="Q192" s="71">
        <f t="shared" si="52"/>
        <v>1393.95</v>
      </c>
      <c r="R192" s="154">
        <f>122*12</f>
        <v>1464</v>
      </c>
      <c r="S192" s="154">
        <f>SUM(I192:R192)</f>
        <v>20223.502499999999</v>
      </c>
      <c r="T192" s="201"/>
      <c r="U192" s="101"/>
      <c r="V192" s="230"/>
      <c r="W192" s="230"/>
      <c r="X192" s="172"/>
      <c r="Y192" s="172"/>
      <c r="Z192" s="172"/>
      <c r="AA192" s="233"/>
      <c r="AB192" s="233"/>
      <c r="AC192" s="233"/>
      <c r="AD192" s="233"/>
      <c r="AE192" s="234"/>
      <c r="AF192" s="233"/>
      <c r="AG192" s="172"/>
      <c r="AH192" s="235"/>
      <c r="AI192" s="230"/>
      <c r="AJ192" s="230"/>
    </row>
    <row r="193" spans="1:36" s="49" customFormat="1" ht="15.75">
      <c r="A193" s="931"/>
      <c r="B193" s="160">
        <v>74</v>
      </c>
      <c r="C193" s="160" t="s">
        <v>193</v>
      </c>
      <c r="D193" s="75"/>
      <c r="E193" s="66" t="s">
        <v>66</v>
      </c>
      <c r="F193" s="67"/>
      <c r="G193" s="76" t="s">
        <v>183</v>
      </c>
      <c r="H193" s="163">
        <v>0</v>
      </c>
      <c r="I193" s="201">
        <f>'CALCOLO VAC. E PEREQ 2020'!S22</f>
        <v>149.11000000000001</v>
      </c>
      <c r="J193" s="70">
        <f>1639.16*12</f>
        <v>19669.920000000002</v>
      </c>
      <c r="K193" s="201">
        <f>'CALCOLO VAC. E PEREQ 2020'!AE22</f>
        <v>276</v>
      </c>
      <c r="L193" s="70"/>
      <c r="M193" s="70"/>
      <c r="N193" s="70"/>
      <c r="O193" s="70">
        <f>5.38*12</f>
        <v>64.56</v>
      </c>
      <c r="P193" s="70">
        <f>(39.31*12)</f>
        <v>471.72</v>
      </c>
      <c r="Q193" s="71">
        <f t="shared" si="52"/>
        <v>1651.59</v>
      </c>
      <c r="R193" s="201"/>
      <c r="S193" s="71">
        <f t="shared" si="53"/>
        <v>22282.900000000005</v>
      </c>
      <c r="T193" s="71">
        <v>0</v>
      </c>
      <c r="U193" s="77"/>
      <c r="V193" s="323"/>
      <c r="W193" s="323"/>
      <c r="X193" s="166"/>
      <c r="Y193" s="166"/>
      <c r="Z193" s="166"/>
      <c r="AA193" s="324"/>
      <c r="AB193" s="324"/>
      <c r="AC193" s="324"/>
      <c r="AD193" s="324"/>
      <c r="AE193" s="325"/>
      <c r="AF193" s="324"/>
      <c r="AG193" s="166"/>
      <c r="AH193" s="326">
        <f>12.33*12</f>
        <v>147.96</v>
      </c>
      <c r="AI193" s="323"/>
      <c r="AJ193" s="323"/>
    </row>
    <row r="194" spans="1:36" s="191" customFormat="1" ht="16.5" hidden="1" thickBot="1">
      <c r="B194" s="338"/>
      <c r="C194" s="338"/>
      <c r="D194" s="339"/>
      <c r="E194" s="340" t="s">
        <v>66</v>
      </c>
      <c r="F194" s="341"/>
      <c r="G194" s="340"/>
      <c r="H194" s="342">
        <f t="shared" si="51"/>
        <v>0</v>
      </c>
      <c r="I194" s="609"/>
      <c r="J194" s="343"/>
      <c r="K194" s="609"/>
      <c r="L194" s="343"/>
      <c r="M194" s="343"/>
      <c r="N194" s="343"/>
      <c r="O194" s="343"/>
      <c r="P194" s="343"/>
      <c r="Q194" s="71">
        <f t="shared" si="52"/>
        <v>0</v>
      </c>
      <c r="R194" s="609">
        <v>0</v>
      </c>
      <c r="S194" s="343">
        <f t="shared" si="53"/>
        <v>0</v>
      </c>
      <c r="T194" s="343">
        <v>0</v>
      </c>
      <c r="U194" s="344"/>
      <c r="V194" s="331"/>
      <c r="W194" s="331"/>
      <c r="X194" s="332"/>
      <c r="Y194" s="332"/>
      <c r="Z194" s="332"/>
      <c r="AA194" s="333"/>
      <c r="AB194" s="333"/>
      <c r="AC194" s="333"/>
      <c r="AD194" s="333"/>
      <c r="AE194" s="334"/>
      <c r="AF194" s="333"/>
      <c r="AG194" s="332"/>
      <c r="AH194" s="335"/>
      <c r="AI194" s="331"/>
      <c r="AJ194" s="331"/>
    </row>
    <row r="195" spans="1:36" s="49" customFormat="1" ht="16.5" thickBot="1">
      <c r="D195" s="115"/>
      <c r="F195" s="116"/>
      <c r="H195" s="120">
        <f t="shared" ref="H195:R195" si="54">SUM(H187:H194)</f>
        <v>0</v>
      </c>
      <c r="I195" s="570">
        <f t="shared" si="54"/>
        <v>874.41250000000002</v>
      </c>
      <c r="J195" s="120">
        <f t="shared" si="54"/>
        <v>115322.93999999999</v>
      </c>
      <c r="K195" s="570">
        <f t="shared" si="54"/>
        <v>1563</v>
      </c>
      <c r="L195" s="120">
        <f t="shared" si="54"/>
        <v>396.24</v>
      </c>
      <c r="M195" s="120">
        <f t="shared" si="54"/>
        <v>0</v>
      </c>
      <c r="N195" s="120">
        <f t="shared" si="54"/>
        <v>0</v>
      </c>
      <c r="O195" s="120">
        <f t="shared" si="54"/>
        <v>258.24</v>
      </c>
      <c r="P195" s="120">
        <f t="shared" si="54"/>
        <v>2825.7</v>
      </c>
      <c r="Q195" s="119">
        <f>SUM(Q187:Q194)</f>
        <v>9716.1299999999992</v>
      </c>
      <c r="R195" s="570">
        <f t="shared" si="54"/>
        <v>1464</v>
      </c>
      <c r="S195" s="119">
        <f>SUM(S187:S194)</f>
        <v>132420.66250000001</v>
      </c>
      <c r="T195" s="119">
        <v>0</v>
      </c>
      <c r="U195" s="119"/>
      <c r="V195" s="120">
        <f>S195+T195-R195</f>
        <v>130956.66250000001</v>
      </c>
      <c r="W195" s="143">
        <f>S195-P195-R195-K195</f>
        <v>126567.96250000001</v>
      </c>
      <c r="X195" s="120">
        <f>S195+T195-R195</f>
        <v>130956.66250000001</v>
      </c>
      <c r="Y195" s="120">
        <v>0</v>
      </c>
      <c r="Z195" s="120">
        <f>S192-R192</f>
        <v>18759.502499999999</v>
      </c>
      <c r="AA195" s="120">
        <f>ROUND((V195*23.8%),0)</f>
        <v>31168</v>
      </c>
      <c r="AB195" s="120">
        <f>ROUND((W195*2.88%),0)</f>
        <v>3645</v>
      </c>
      <c r="AC195" s="120">
        <v>0</v>
      </c>
      <c r="AD195" s="121">
        <f>ROUND((X195-S192)*1.2%,0)+ROUND(S192*0.5%,0)</f>
        <v>1430</v>
      </c>
      <c r="AE195" s="122">
        <f>ROUND((Y195*1.61%),0)</f>
        <v>0</v>
      </c>
      <c r="AF195" s="120">
        <f>SUM(AA195:AE195)</f>
        <v>36243</v>
      </c>
      <c r="AG195" s="316">
        <f>ROUND((Z195*8.5%),0)</f>
        <v>1595</v>
      </c>
      <c r="AH195" s="121">
        <f>SUM(AH190:AH194)</f>
        <v>5954.4</v>
      </c>
      <c r="AI195" s="121">
        <f>S195-R195+T195-AA196-AB196-AC196</f>
        <v>130956.66250000001</v>
      </c>
      <c r="AJ195" s="121">
        <f>ROUND((S195+T195-R195-AA196-AB196-AC196)*29%,0)</f>
        <v>37977</v>
      </c>
    </row>
    <row r="196" spans="1:36" s="49" customFormat="1" ht="17.25" thickTop="1" thickBot="1">
      <c r="C196" s="49" t="s">
        <v>194</v>
      </c>
      <c r="D196" s="115"/>
      <c r="F196" s="116"/>
      <c r="I196" s="598"/>
      <c r="J196" s="123"/>
      <c r="K196" s="598"/>
      <c r="L196" s="123"/>
      <c r="M196" s="123"/>
      <c r="N196" s="123"/>
      <c r="O196" s="123"/>
      <c r="P196" s="123"/>
      <c r="Q196" s="124"/>
      <c r="R196" s="124"/>
      <c r="S196" s="124"/>
      <c r="T196" s="124"/>
      <c r="U196" s="124"/>
      <c r="V196" s="123"/>
      <c r="W196" s="123"/>
      <c r="X196" s="127"/>
      <c r="Y196" s="127"/>
      <c r="Z196" s="126"/>
      <c r="AA196" s="129"/>
      <c r="AB196" s="129"/>
      <c r="AC196" s="129"/>
      <c r="AD196" s="130"/>
      <c r="AE196" s="48"/>
      <c r="AF196" s="129"/>
      <c r="AG196" s="127"/>
      <c r="AH196" s="126"/>
      <c r="AI196" s="126"/>
      <c r="AJ196" s="126"/>
    </row>
    <row r="197" spans="1:36" s="49" customFormat="1" ht="16.5" hidden="1" thickTop="1">
      <c r="D197" s="115"/>
      <c r="F197" s="116"/>
      <c r="I197" s="598"/>
      <c r="J197" s="123"/>
      <c r="K197" s="598"/>
      <c r="L197" s="312"/>
      <c r="M197" s="312"/>
      <c r="N197" s="123"/>
      <c r="O197" s="123"/>
      <c r="P197" s="123"/>
      <c r="Q197" s="124"/>
      <c r="R197" s="124"/>
      <c r="S197" s="124"/>
      <c r="T197" s="124"/>
      <c r="U197" s="124"/>
      <c r="V197" s="123"/>
      <c r="W197" s="123"/>
      <c r="X197" s="127"/>
      <c r="Y197" s="127"/>
      <c r="Z197" s="126"/>
      <c r="AA197" s="126"/>
      <c r="AB197" s="126"/>
      <c r="AC197" s="126"/>
      <c r="AD197" s="48"/>
      <c r="AE197" s="48"/>
      <c r="AF197" s="126"/>
      <c r="AG197" s="127"/>
      <c r="AH197" s="126"/>
      <c r="AI197" s="126"/>
      <c r="AJ197" s="126"/>
    </row>
    <row r="198" spans="1:36" s="49" customFormat="1" hidden="1">
      <c r="D198" s="115"/>
      <c r="F198" s="116"/>
      <c r="I198" s="607"/>
      <c r="J198" s="159"/>
      <c r="K198" s="607"/>
      <c r="L198" s="127"/>
      <c r="M198" s="127"/>
      <c r="N198" s="127"/>
      <c r="O198" s="127"/>
      <c r="P198" s="127"/>
      <c r="Q198" s="144"/>
      <c r="R198" s="144"/>
      <c r="S198" s="144"/>
      <c r="T198" s="144"/>
      <c r="U198" s="144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</row>
    <row r="199" spans="1:36" s="49" customFormat="1" ht="48" hidden="1" customHeight="1" thickBot="1">
      <c r="B199" s="148"/>
      <c r="C199" s="338"/>
      <c r="D199" s="149" t="s">
        <v>174</v>
      </c>
      <c r="E199" s="150" t="s">
        <v>66</v>
      </c>
      <c r="F199" s="151"/>
      <c r="G199" s="150"/>
      <c r="H199" s="152">
        <f>(J199+K199+P199+Q199)*3%</f>
        <v>0</v>
      </c>
      <c r="I199" s="202"/>
      <c r="J199" s="180"/>
      <c r="K199" s="202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38">
        <f>(14.6*12)</f>
        <v>175.2</v>
      </c>
      <c r="AI199" s="140"/>
      <c r="AJ199" s="140"/>
    </row>
    <row r="200" spans="1:36" s="49" customFormat="1" ht="17.25" hidden="1" thickTop="1" thickBot="1">
      <c r="D200" s="115"/>
      <c r="F200" s="116"/>
      <c r="H200" s="120">
        <f t="shared" ref="H200:T200" si="55">SUM(H199)</f>
        <v>0</v>
      </c>
      <c r="I200" s="570">
        <f t="shared" si="55"/>
        <v>0</v>
      </c>
      <c r="J200" s="120">
        <f t="shared" si="55"/>
        <v>0</v>
      </c>
      <c r="K200" s="570">
        <f t="shared" si="55"/>
        <v>0</v>
      </c>
      <c r="L200" s="120">
        <f t="shared" si="55"/>
        <v>0</v>
      </c>
      <c r="M200" s="120">
        <f t="shared" si="55"/>
        <v>0</v>
      </c>
      <c r="N200" s="120">
        <f t="shared" si="55"/>
        <v>0</v>
      </c>
      <c r="O200" s="120">
        <f t="shared" si="55"/>
        <v>0</v>
      </c>
      <c r="P200" s="120">
        <f t="shared" si="55"/>
        <v>0</v>
      </c>
      <c r="Q200" s="119">
        <f t="shared" si="55"/>
        <v>0</v>
      </c>
      <c r="R200" s="119">
        <f t="shared" si="55"/>
        <v>0</v>
      </c>
      <c r="S200" s="119">
        <f t="shared" si="55"/>
        <v>0</v>
      </c>
      <c r="T200" s="119">
        <f t="shared" si="55"/>
        <v>0</v>
      </c>
      <c r="U200" s="327"/>
      <c r="V200" s="121">
        <f>S200+T200-R200</f>
        <v>0</v>
      </c>
      <c r="W200" s="120">
        <f>S200-P200-R200</f>
        <v>0</v>
      </c>
      <c r="X200" s="121">
        <f>S200+T200-R200</f>
        <v>0</v>
      </c>
      <c r="Y200" s="121">
        <v>0</v>
      </c>
      <c r="Z200" s="121">
        <f>S200+T200-R200</f>
        <v>0</v>
      </c>
      <c r="AA200" s="117">
        <f>ROUND((V200*23.8%),0)</f>
        <v>0</v>
      </c>
      <c r="AB200" s="117">
        <f>ROUND((W200*2.88%),0)</f>
        <v>0</v>
      </c>
      <c r="AC200" s="117">
        <v>0</v>
      </c>
      <c r="AD200" s="121">
        <f>ROUND((X200*0.5%),0)</f>
        <v>0</v>
      </c>
      <c r="AE200" s="121">
        <v>0</v>
      </c>
      <c r="AF200" s="117">
        <f>SUM(AA200:AE200)</f>
        <v>0</v>
      </c>
      <c r="AG200" s="121">
        <f>ROUND((V200*8.5%),0)</f>
        <v>0</v>
      </c>
      <c r="AH200" s="318">
        <f>SUM(AH199:AH199)</f>
        <v>175.2</v>
      </c>
      <c r="AI200" s="121">
        <f>S200-R200+T200-AA201-AB201-AC201</f>
        <v>0</v>
      </c>
      <c r="AJ200" s="121">
        <f>ROUND((S200+T200-R200-AA201-AB201-AC201)*29%,0)</f>
        <v>0</v>
      </c>
    </row>
    <row r="201" spans="1:36" s="49" customFormat="1" ht="17.25" hidden="1" thickTop="1" thickBot="1">
      <c r="D201" s="115"/>
      <c r="F201" s="116"/>
      <c r="I201" s="598"/>
      <c r="J201" s="126"/>
      <c r="K201" s="598"/>
      <c r="L201" s="123"/>
      <c r="M201" s="123"/>
      <c r="N201" s="123"/>
      <c r="O201" s="123"/>
      <c r="P201" s="123"/>
      <c r="Q201" s="124"/>
      <c r="R201" s="124"/>
      <c r="S201" s="124"/>
      <c r="T201" s="124"/>
      <c r="U201" s="124"/>
      <c r="V201" s="123"/>
      <c r="W201" s="123"/>
      <c r="X201" s="127"/>
      <c r="Y201" s="127"/>
      <c r="Z201" s="126"/>
      <c r="AA201" s="129"/>
      <c r="AB201" s="121"/>
      <c r="AC201" s="121"/>
      <c r="AD201" s="48"/>
      <c r="AE201" s="48"/>
      <c r="AF201" s="121"/>
      <c r="AG201" s="127"/>
      <c r="AH201" s="126"/>
      <c r="AI201" s="126"/>
      <c r="AJ201" s="126"/>
    </row>
    <row r="202" spans="1:36" s="49" customFormat="1" ht="16.5" thickTop="1">
      <c r="D202" s="115"/>
      <c r="F202" s="116"/>
      <c r="I202" s="598"/>
      <c r="J202" s="244"/>
      <c r="K202" s="598"/>
      <c r="L202" s="123"/>
      <c r="M202" s="123"/>
      <c r="N202" s="132"/>
      <c r="O202" s="123"/>
      <c r="P202" s="123"/>
      <c r="Q202" s="124"/>
      <c r="R202" s="124"/>
      <c r="S202" s="124"/>
      <c r="T202" s="124"/>
      <c r="U202" s="124"/>
      <c r="V202" s="123"/>
      <c r="W202" s="123"/>
      <c r="X202" s="127"/>
      <c r="Y202" s="127"/>
      <c r="Z202" s="126"/>
      <c r="AA202" s="130"/>
      <c r="AB202" s="130"/>
      <c r="AC202" s="130"/>
      <c r="AD202" s="48"/>
      <c r="AE202" s="48"/>
      <c r="AF202" s="130"/>
      <c r="AG202" s="127"/>
      <c r="AH202" s="126"/>
      <c r="AI202" s="126"/>
      <c r="AJ202" s="126"/>
    </row>
    <row r="203" spans="1:36" s="223" customFormat="1" ht="44.25" customHeight="1" thickBot="1">
      <c r="A203" s="931" t="s">
        <v>502</v>
      </c>
      <c r="B203" s="223">
        <v>75</v>
      </c>
      <c r="C203" s="224" t="s">
        <v>235</v>
      </c>
      <c r="D203" s="223" t="s">
        <v>196</v>
      </c>
      <c r="E203" s="223" t="s">
        <v>66</v>
      </c>
      <c r="G203" s="226" t="s">
        <v>2</v>
      </c>
      <c r="H203" s="223">
        <v>0</v>
      </c>
      <c r="I203" s="201">
        <f>'CALCOLO VAC. E PEREQ 2020'!S46</f>
        <v>154.31</v>
      </c>
      <c r="J203" s="199">
        <f>1695.34*12</f>
        <v>20344.079999999998</v>
      </c>
      <c r="K203" s="360">
        <f>'CALCOLO VAC. E PEREQ 2020'!AE46</f>
        <v>276</v>
      </c>
      <c r="L203" s="223">
        <v>0</v>
      </c>
      <c r="P203" s="360">
        <f>549.6</f>
        <v>549.6</v>
      </c>
      <c r="Q203" s="360">
        <f>ROUND((I203+J203+L203+M203+N203)/12,2)</f>
        <v>1708.2</v>
      </c>
      <c r="S203" s="360">
        <f>SUM(I203:R203)</f>
        <v>23032.19</v>
      </c>
      <c r="T203" s="223">
        <v>0</v>
      </c>
    </row>
    <row r="204" spans="1:36" s="49" customFormat="1" ht="15.75" thickTop="1">
      <c r="A204" s="931"/>
      <c r="B204" s="86">
        <v>76</v>
      </c>
      <c r="C204" s="86" t="s">
        <v>195</v>
      </c>
      <c r="D204" s="345" t="s">
        <v>196</v>
      </c>
      <c r="E204" s="346" t="s">
        <v>66</v>
      </c>
      <c r="F204" s="347"/>
      <c r="G204" s="66" t="s">
        <v>148</v>
      </c>
      <c r="H204" s="68">
        <v>0</v>
      </c>
      <c r="I204" s="201">
        <f>'CALCOLO VAC. E PEREQ 2020'!S23</f>
        <v>149.11000000000001</v>
      </c>
      <c r="J204" s="70">
        <f>1639.16*12</f>
        <v>19669.920000000002</v>
      </c>
      <c r="K204" s="201">
        <f>'CALCOLO VAC. E PEREQ 2020'!AE23</f>
        <v>276</v>
      </c>
      <c r="L204" s="73">
        <v>0</v>
      </c>
      <c r="M204" s="261"/>
      <c r="N204" s="261"/>
      <c r="O204" s="73"/>
      <c r="P204" s="171">
        <f>(39.31*12)</f>
        <v>471.72</v>
      </c>
      <c r="Q204" s="360">
        <f t="shared" ref="Q204:Q205" si="56">ROUND((I204+J204+L204+M204+N204)/12,2)</f>
        <v>1651.59</v>
      </c>
      <c r="R204" s="361"/>
      <c r="S204" s="72">
        <f>SUM(I204:R204)</f>
        <v>22218.340000000004</v>
      </c>
      <c r="T204" s="71">
        <v>0</v>
      </c>
      <c r="U204" s="72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</row>
    <row r="205" spans="1:36" s="49" customFormat="1" ht="15.75" thickBot="1">
      <c r="A205" s="931"/>
      <c r="B205" s="103">
        <v>77</v>
      </c>
      <c r="C205" s="103" t="s">
        <v>197</v>
      </c>
      <c r="D205" s="257"/>
      <c r="E205" s="185"/>
      <c r="F205" s="179"/>
      <c r="G205" s="185" t="s">
        <v>159</v>
      </c>
      <c r="H205" s="137">
        <v>0</v>
      </c>
      <c r="I205" s="597">
        <f>'CALCOLO VAC. E PEREQ 2020'!S66</f>
        <v>162.37</v>
      </c>
      <c r="J205" s="153">
        <f>1840.51*12</f>
        <v>22086.12</v>
      </c>
      <c r="K205" s="597">
        <f>'CALCOLO VAC. E PEREQ 2020'!AE66</f>
        <v>240</v>
      </c>
      <c r="L205" s="138">
        <v>0</v>
      </c>
      <c r="M205" s="140"/>
      <c r="N205" s="140"/>
      <c r="O205" s="138"/>
      <c r="P205" s="199">
        <f>(45.8*12)</f>
        <v>549.59999999999991</v>
      </c>
      <c r="Q205" s="360">
        <f t="shared" si="56"/>
        <v>1854.04</v>
      </c>
      <c r="R205" s="200"/>
      <c r="S205" s="139">
        <f>SUM(I205:R205)</f>
        <v>24892.129999999997</v>
      </c>
      <c r="T205" s="139">
        <v>0</v>
      </c>
      <c r="U205" s="265"/>
      <c r="V205" s="266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1"/>
    </row>
    <row r="206" spans="1:36" s="49" customFormat="1" ht="31.5" thickTop="1" thickBot="1">
      <c r="A206" s="931"/>
      <c r="B206" s="223"/>
      <c r="C206" s="594" t="s">
        <v>714</v>
      </c>
      <c r="D206" s="857"/>
      <c r="E206" s="810"/>
      <c r="F206" s="116"/>
      <c r="G206" s="860" t="s">
        <v>121</v>
      </c>
      <c r="H206" s="858"/>
      <c r="I206" s="864">
        <f>'CALCOLO VAC. E PEREQ 2020'!S88</f>
        <v>41.957500000000003</v>
      </c>
      <c r="J206" s="864">
        <f>1844.62*3</f>
        <v>5533.86</v>
      </c>
      <c r="K206" s="864">
        <f>'CALCOLO VAC. E PEREQ 2020'!AE88</f>
        <v>57</v>
      </c>
      <c r="L206" s="864"/>
      <c r="M206" s="864"/>
      <c r="N206" s="864"/>
      <c r="O206" s="864"/>
      <c r="P206" s="864">
        <f>51.9*3</f>
        <v>155.69999999999999</v>
      </c>
      <c r="Q206" s="864">
        <f>ROUND((I206+J206+L206+M206+N206)/3,2)</f>
        <v>1858.61</v>
      </c>
      <c r="R206" s="864"/>
      <c r="S206" s="864">
        <f>SUM(I206:R206)</f>
        <v>7647.1274999999996</v>
      </c>
      <c r="T206" s="864"/>
      <c r="U206" s="859"/>
      <c r="V206" s="296"/>
      <c r="W206" s="166"/>
      <c r="X206" s="166"/>
      <c r="Y206" s="166"/>
      <c r="Z206" s="166"/>
      <c r="AA206" s="166"/>
      <c r="AB206" s="166"/>
      <c r="AC206" s="166"/>
      <c r="AD206" s="182"/>
      <c r="AE206" s="181"/>
      <c r="AF206" s="166"/>
      <c r="AG206" s="182"/>
      <c r="AH206" s="181"/>
      <c r="AI206" s="182"/>
      <c r="AJ206" s="181"/>
    </row>
    <row r="207" spans="1:36" s="49" customFormat="1" ht="46.5" thickTop="1" thickBot="1">
      <c r="A207" s="931"/>
      <c r="B207" s="64"/>
      <c r="C207" s="686" t="s">
        <v>690</v>
      </c>
      <c r="D207" s="857"/>
      <c r="E207" s="810"/>
      <c r="F207" s="116"/>
      <c r="G207" s="860" t="s">
        <v>121</v>
      </c>
      <c r="H207" s="861"/>
      <c r="I207" s="862"/>
      <c r="J207" s="863"/>
      <c r="K207" s="862"/>
      <c r="L207" s="864"/>
      <c r="M207" s="865"/>
      <c r="N207" s="863"/>
      <c r="O207" s="864"/>
      <c r="P207" s="864"/>
      <c r="Q207" s="864">
        <f>ROUND((I207+J207+L207+M207+N207)/4,2)</f>
        <v>0</v>
      </c>
      <c r="R207" s="865"/>
      <c r="S207" s="864">
        <f>SUM(I207:R207)</f>
        <v>0</v>
      </c>
      <c r="T207" s="865">
        <v>0</v>
      </c>
      <c r="U207" s="859"/>
      <c r="V207" s="296"/>
      <c r="W207" s="166"/>
      <c r="X207" s="166"/>
      <c r="Y207" s="166"/>
      <c r="Z207" s="166"/>
      <c r="AA207" s="166"/>
      <c r="AB207" s="166"/>
      <c r="AC207" s="166"/>
      <c r="AD207" s="182"/>
      <c r="AE207" s="181"/>
      <c r="AF207" s="166"/>
      <c r="AG207" s="182"/>
      <c r="AH207" s="181"/>
      <c r="AI207" s="182"/>
      <c r="AJ207" s="181"/>
    </row>
    <row r="208" spans="1:36" s="49" customFormat="1" ht="17.25" thickTop="1" thickBot="1">
      <c r="B208" s="348"/>
      <c r="C208" s="348"/>
      <c r="D208" s="349"/>
      <c r="E208" s="348"/>
      <c r="F208" s="350"/>
      <c r="G208" s="348"/>
      <c r="H208" s="120">
        <f t="shared" ref="H208" si="57">SUM(H204:H205)</f>
        <v>0</v>
      </c>
      <c r="I208" s="570">
        <f>SUM(I203:I207)</f>
        <v>507.7475</v>
      </c>
      <c r="J208" s="570">
        <f t="shared" ref="J208:T208" si="58">SUM(J203:J207)</f>
        <v>67633.98</v>
      </c>
      <c r="K208" s="570">
        <f t="shared" si="58"/>
        <v>849</v>
      </c>
      <c r="L208" s="570">
        <f t="shared" si="58"/>
        <v>0</v>
      </c>
      <c r="M208" s="570">
        <f t="shared" si="58"/>
        <v>0</v>
      </c>
      <c r="N208" s="570">
        <f t="shared" si="58"/>
        <v>0</v>
      </c>
      <c r="O208" s="570">
        <f t="shared" si="58"/>
        <v>0</v>
      </c>
      <c r="P208" s="570">
        <f t="shared" si="58"/>
        <v>1726.6200000000001</v>
      </c>
      <c r="Q208" s="570">
        <f>SUM(Q203:Q207)</f>
        <v>7072.44</v>
      </c>
      <c r="R208" s="570">
        <f t="shared" si="58"/>
        <v>0</v>
      </c>
      <c r="S208" s="570">
        <f>SUM(S203:S207)</f>
        <v>77789.787500000006</v>
      </c>
      <c r="T208" s="570">
        <f t="shared" si="58"/>
        <v>0</v>
      </c>
      <c r="U208" s="119"/>
      <c r="V208" s="120">
        <f>S208+T208-R208</f>
        <v>77789.787500000006</v>
      </c>
      <c r="W208" s="120">
        <f>S208-P208-R208-K208</f>
        <v>75214.16750000001</v>
      </c>
      <c r="X208" s="120">
        <f>S208+T208-R208</f>
        <v>77789.787500000006</v>
      </c>
      <c r="Y208" s="120">
        <v>0</v>
      </c>
      <c r="Z208" s="120">
        <f>S208+T208-R208</f>
        <v>77789.787500000006</v>
      </c>
      <c r="AA208" s="120">
        <f>ROUND((V208*23.8%),0)</f>
        <v>18514</v>
      </c>
      <c r="AB208" s="120">
        <f>ROUND((W208*2.88%),0)</f>
        <v>2166</v>
      </c>
      <c r="AC208" s="120">
        <v>0</v>
      </c>
      <c r="AD208" s="122">
        <f>ROUND((X208*0.5%),0)</f>
        <v>389</v>
      </c>
      <c r="AE208" s="121">
        <f>ROUND((Y208*1.61%),0)</f>
        <v>0</v>
      </c>
      <c r="AF208" s="117">
        <f>SUM(AA208:AE208)</f>
        <v>21069</v>
      </c>
      <c r="AG208" s="122">
        <f>ROUND((V208*8.5%),0)</f>
        <v>6612</v>
      </c>
      <c r="AH208" s="121">
        <f>SUM(AH204:AH204)</f>
        <v>0</v>
      </c>
      <c r="AI208" s="122">
        <f>S208-R208+T208-AA209-AB209-AC209</f>
        <v>77789.787500000006</v>
      </c>
      <c r="AJ208" s="121">
        <f>ROUND((S208+T208-R208-AA209-AB209-AC209)*29%,0)</f>
        <v>22559</v>
      </c>
    </row>
    <row r="209" spans="1:36" s="49" customFormat="1" ht="17.25" thickTop="1" thickBot="1">
      <c r="D209" s="115"/>
      <c r="F209" s="116"/>
      <c r="I209" s="602"/>
      <c r="J209" s="126"/>
      <c r="K209" s="602"/>
      <c r="L209" s="126"/>
      <c r="M209" s="126"/>
      <c r="N209" s="126"/>
      <c r="O209" s="126"/>
      <c r="P209" s="126"/>
      <c r="Q209" s="125"/>
      <c r="R209" s="125"/>
      <c r="S209" s="125"/>
      <c r="T209" s="125"/>
      <c r="U209" s="125"/>
      <c r="V209" s="123"/>
      <c r="W209" s="123"/>
      <c r="X209" s="127"/>
      <c r="Y209" s="127"/>
      <c r="Z209" s="126"/>
      <c r="AA209" s="129"/>
      <c r="AB209" s="121"/>
      <c r="AC209" s="121"/>
      <c r="AD209" s="130"/>
      <c r="AE209" s="48"/>
      <c r="AF209" s="121"/>
      <c r="AG209" s="127"/>
      <c r="AH209" s="126"/>
      <c r="AI209" s="126"/>
      <c r="AJ209" s="126"/>
    </row>
    <row r="210" spans="1:36" s="49" customFormat="1" ht="17.25" hidden="1" thickTop="1" thickBot="1">
      <c r="B210" s="386"/>
      <c r="C210" s="387"/>
      <c r="D210" s="386"/>
      <c r="E210" s="386"/>
      <c r="F210" s="386"/>
      <c r="G210" s="388"/>
      <c r="H210" s="386"/>
      <c r="I210" s="223"/>
      <c r="J210" s="389"/>
      <c r="K210" s="360"/>
      <c r="L210" s="386"/>
      <c r="M210" s="386"/>
      <c r="N210" s="386"/>
      <c r="O210" s="386"/>
      <c r="P210" s="390"/>
      <c r="Q210" s="390"/>
      <c r="R210" s="386"/>
      <c r="S210" s="397"/>
      <c r="T210" s="386"/>
      <c r="U210" s="391"/>
      <c r="V210" s="392"/>
      <c r="W210" s="392"/>
      <c r="X210" s="392"/>
      <c r="Y210" s="393"/>
      <c r="Z210" s="392"/>
      <c r="AA210" s="392"/>
      <c r="AB210" s="392"/>
      <c r="AC210" s="392"/>
      <c r="AD210" s="394"/>
      <c r="AE210" s="395"/>
      <c r="AF210" s="396"/>
      <c r="AG210" s="394"/>
      <c r="AH210" s="126"/>
      <c r="AI210" s="122"/>
      <c r="AJ210" s="121"/>
    </row>
    <row r="211" spans="1:36" s="49" customFormat="1" ht="17.25" hidden="1" thickTop="1" thickBot="1">
      <c r="A211" s="548" t="s">
        <v>496</v>
      </c>
      <c r="B211" s="485"/>
      <c r="C211" s="387"/>
      <c r="D211" s="386"/>
      <c r="E211" s="386"/>
      <c r="F211" s="386"/>
      <c r="G211" s="386"/>
      <c r="H211" s="386"/>
      <c r="I211" s="201">
        <v>0</v>
      </c>
      <c r="J211" s="386">
        <v>0</v>
      </c>
      <c r="K211" s="223">
        <v>0</v>
      </c>
      <c r="L211" s="386"/>
      <c r="M211" s="386"/>
      <c r="N211" s="386"/>
      <c r="O211" s="386"/>
      <c r="P211" s="386">
        <v>0</v>
      </c>
      <c r="Q211" s="390">
        <f t="shared" ref="Q211:Q217" si="59">ROUND((I211+J211+L211+M211+N211)/12,2)</f>
        <v>0</v>
      </c>
      <c r="R211" s="386"/>
      <c r="S211" s="397">
        <v>0</v>
      </c>
      <c r="T211" s="386">
        <v>0</v>
      </c>
      <c r="U211" s="386"/>
      <c r="V211" s="392">
        <f t="shared" ref="V211:V215" si="60">S211+T211-R211</f>
        <v>0</v>
      </c>
      <c r="W211" s="392">
        <f t="shared" ref="W211:W216" si="61">S211-P211-R211-K211</f>
        <v>0</v>
      </c>
      <c r="X211" s="392">
        <f t="shared" ref="X211:X216" si="62">S211+T211-R211</f>
        <v>0</v>
      </c>
      <c r="Y211" s="393"/>
      <c r="Z211" s="392">
        <f t="shared" ref="Z211:Z215" si="63">S211+T211-R211</f>
        <v>0</v>
      </c>
      <c r="AA211" s="392">
        <f t="shared" ref="AA211:AA215" si="64">ROUND((V211*23.8%),0)</f>
        <v>0</v>
      </c>
      <c r="AB211" s="392">
        <f t="shared" ref="AB211:AB214" si="65">ROUND((W211*2.88%),0)</f>
        <v>0</v>
      </c>
      <c r="AC211" s="392">
        <v>0</v>
      </c>
      <c r="AD211" s="394">
        <f t="shared" ref="AD211:AD215" si="66">ROUND((X211*0.5%),0)</f>
        <v>0</v>
      </c>
      <c r="AE211" s="395"/>
      <c r="AF211" s="396">
        <f t="shared" ref="AF211:AF214" si="67">SUM(AA211:AE211)</f>
        <v>0</v>
      </c>
      <c r="AG211" s="394">
        <f t="shared" ref="AG211:AG215" si="68">ROUND((V211*8.5%),0)</f>
        <v>0</v>
      </c>
      <c r="AH211" s="386"/>
      <c r="AI211" s="386"/>
      <c r="AJ211" s="386"/>
    </row>
    <row r="212" spans="1:36" s="49" customFormat="1" ht="17.25" hidden="1" thickTop="1" thickBot="1">
      <c r="A212" s="548" t="s">
        <v>498</v>
      </c>
      <c r="B212" s="485"/>
      <c r="C212" s="387"/>
      <c r="D212" s="386"/>
      <c r="E212" s="386"/>
      <c r="F212" s="386"/>
      <c r="G212" s="386"/>
      <c r="H212" s="386"/>
      <c r="I212" s="201">
        <v>0</v>
      </c>
      <c r="J212" s="386">
        <v>0</v>
      </c>
      <c r="K212" s="223">
        <v>0</v>
      </c>
      <c r="L212" s="386"/>
      <c r="M212" s="386"/>
      <c r="N212" s="386"/>
      <c r="O212" s="386"/>
      <c r="P212" s="486">
        <v>0</v>
      </c>
      <c r="Q212" s="390">
        <f>ROUND((I212+J212+L212+M212+N212)/12,2)</f>
        <v>0</v>
      </c>
      <c r="R212" s="386"/>
      <c r="S212" s="397">
        <f t="shared" ref="S212:S217" si="69">SUM(I212:R212)</f>
        <v>0</v>
      </c>
      <c r="T212" s="386">
        <v>0</v>
      </c>
      <c r="U212" s="386"/>
      <c r="V212" s="392">
        <f t="shared" si="60"/>
        <v>0</v>
      </c>
      <c r="W212" s="392">
        <f t="shared" si="61"/>
        <v>0</v>
      </c>
      <c r="X212" s="392">
        <f t="shared" si="62"/>
        <v>0</v>
      </c>
      <c r="Y212" s="393"/>
      <c r="Z212" s="392">
        <f t="shared" si="63"/>
        <v>0</v>
      </c>
      <c r="AA212" s="392">
        <f t="shared" si="64"/>
        <v>0</v>
      </c>
      <c r="AB212" s="392">
        <f t="shared" si="65"/>
        <v>0</v>
      </c>
      <c r="AC212" s="392">
        <v>0</v>
      </c>
      <c r="AD212" s="394">
        <f t="shared" si="66"/>
        <v>0</v>
      </c>
      <c r="AE212" s="395"/>
      <c r="AF212" s="396">
        <f t="shared" si="67"/>
        <v>0</v>
      </c>
      <c r="AG212" s="394">
        <f t="shared" si="68"/>
        <v>0</v>
      </c>
      <c r="AH212" s="386"/>
      <c r="AI212" s="386"/>
      <c r="AJ212" s="386"/>
    </row>
    <row r="213" spans="1:36" s="49" customFormat="1" ht="17.25" hidden="1" thickTop="1" thickBot="1">
      <c r="A213" s="548" t="s">
        <v>497</v>
      </c>
      <c r="B213" s="485"/>
      <c r="C213" s="387"/>
      <c r="D213" s="386"/>
      <c r="E213" s="386"/>
      <c r="F213" s="386"/>
      <c r="G213" s="386"/>
      <c r="H213" s="386"/>
      <c r="I213" s="201">
        <v>0</v>
      </c>
      <c r="J213" s="386">
        <v>0</v>
      </c>
      <c r="K213" s="223">
        <v>0</v>
      </c>
      <c r="L213" s="386"/>
      <c r="M213" s="386"/>
      <c r="N213" s="386"/>
      <c r="O213" s="70">
        <v>0</v>
      </c>
      <c r="P213" s="486">
        <v>0</v>
      </c>
      <c r="Q213" s="390">
        <f t="shared" si="59"/>
        <v>0</v>
      </c>
      <c r="R213" s="386"/>
      <c r="S213" s="397">
        <f t="shared" si="69"/>
        <v>0</v>
      </c>
      <c r="T213" s="386">
        <v>0</v>
      </c>
      <c r="U213" s="386"/>
      <c r="V213" s="392">
        <f t="shared" si="60"/>
        <v>0</v>
      </c>
      <c r="W213" s="392">
        <f t="shared" si="61"/>
        <v>0</v>
      </c>
      <c r="X213" s="392">
        <f t="shared" si="62"/>
        <v>0</v>
      </c>
      <c r="Y213" s="393"/>
      <c r="Z213" s="392">
        <f t="shared" si="63"/>
        <v>0</v>
      </c>
      <c r="AA213" s="392">
        <f t="shared" si="64"/>
        <v>0</v>
      </c>
      <c r="AB213" s="392">
        <f t="shared" si="65"/>
        <v>0</v>
      </c>
      <c r="AC213" s="392">
        <v>0</v>
      </c>
      <c r="AD213" s="394">
        <f t="shared" si="66"/>
        <v>0</v>
      </c>
      <c r="AE213" s="395"/>
      <c r="AF213" s="396">
        <f t="shared" si="67"/>
        <v>0</v>
      </c>
      <c r="AG213" s="394">
        <f t="shared" si="68"/>
        <v>0</v>
      </c>
      <c r="AH213" s="386"/>
      <c r="AI213" s="386"/>
      <c r="AJ213" s="386"/>
    </row>
    <row r="214" spans="1:36" s="102" customFormat="1" ht="17.25" hidden="1" thickTop="1" thickBot="1">
      <c r="A214" s="564" t="s">
        <v>488</v>
      </c>
      <c r="C214" s="224"/>
      <c r="D214" s="223"/>
      <c r="E214" s="223"/>
      <c r="F214" s="223"/>
      <c r="G214" s="223"/>
      <c r="H214" s="223"/>
      <c r="I214" s="201">
        <v>0</v>
      </c>
      <c r="J214" s="223">
        <v>0</v>
      </c>
      <c r="K214" s="223">
        <v>0</v>
      </c>
      <c r="L214" s="223">
        <v>0</v>
      </c>
      <c r="M214" s="223"/>
      <c r="N214" s="223"/>
      <c r="O214" s="223"/>
      <c r="P214" s="201">
        <v>0</v>
      </c>
      <c r="Q214" s="360">
        <f t="shared" si="59"/>
        <v>0</v>
      </c>
      <c r="R214" s="223"/>
      <c r="S214" s="569">
        <f t="shared" si="69"/>
        <v>0</v>
      </c>
      <c r="T214" s="223">
        <v>0</v>
      </c>
      <c r="U214" s="223"/>
      <c r="V214" s="570">
        <f t="shared" si="60"/>
        <v>0</v>
      </c>
      <c r="W214" s="570">
        <f t="shared" si="61"/>
        <v>0</v>
      </c>
      <c r="X214" s="570">
        <f t="shared" si="62"/>
        <v>0</v>
      </c>
      <c r="Y214" s="295"/>
      <c r="Z214" s="570">
        <f t="shared" si="63"/>
        <v>0</v>
      </c>
      <c r="AA214" s="570">
        <f t="shared" si="64"/>
        <v>0</v>
      </c>
      <c r="AB214" s="570">
        <f t="shared" si="65"/>
        <v>0</v>
      </c>
      <c r="AC214" s="570">
        <v>0</v>
      </c>
      <c r="AD214" s="571">
        <f t="shared" si="66"/>
        <v>0</v>
      </c>
      <c r="AE214" s="572"/>
      <c r="AF214" s="573">
        <f t="shared" si="67"/>
        <v>0</v>
      </c>
      <c r="AG214" s="571">
        <f t="shared" si="68"/>
        <v>0</v>
      </c>
      <c r="AH214" s="223"/>
      <c r="AI214" s="223"/>
      <c r="AJ214" s="223"/>
    </row>
    <row r="215" spans="1:36" s="49" customFormat="1" ht="17.25" hidden="1" thickTop="1" thickBot="1">
      <c r="A215" s="548" t="s">
        <v>497</v>
      </c>
      <c r="B215" s="485"/>
      <c r="C215" s="387"/>
      <c r="D215" s="485"/>
      <c r="E215" s="485"/>
      <c r="F215" s="485"/>
      <c r="G215" s="386"/>
      <c r="H215" s="544"/>
      <c r="I215" s="201">
        <v>0</v>
      </c>
      <c r="J215" s="386">
        <v>0</v>
      </c>
      <c r="K215" s="102">
        <v>0</v>
      </c>
      <c r="L215" s="485"/>
      <c r="M215" s="485"/>
      <c r="N215" s="485"/>
      <c r="O215" s="485">
        <v>0</v>
      </c>
      <c r="P215" s="486">
        <v>0</v>
      </c>
      <c r="Q215" s="390">
        <f t="shared" si="59"/>
        <v>0</v>
      </c>
      <c r="R215" s="386"/>
      <c r="S215" s="397">
        <v>0</v>
      </c>
      <c r="T215" s="386">
        <v>0</v>
      </c>
      <c r="U215" s="485"/>
      <c r="V215" s="545">
        <f t="shared" si="60"/>
        <v>0</v>
      </c>
      <c r="W215" s="392"/>
      <c r="X215" s="392">
        <f t="shared" si="62"/>
        <v>0</v>
      </c>
      <c r="Y215" s="393"/>
      <c r="Z215" s="392">
        <f t="shared" si="63"/>
        <v>0</v>
      </c>
      <c r="AA215" s="392">
        <f t="shared" si="64"/>
        <v>0</v>
      </c>
      <c r="AB215" s="392"/>
      <c r="AC215" s="392"/>
      <c r="AD215" s="394">
        <f t="shared" si="66"/>
        <v>0</v>
      </c>
      <c r="AE215" s="395"/>
      <c r="AF215" s="396"/>
      <c r="AG215" s="394">
        <f t="shared" si="68"/>
        <v>0</v>
      </c>
      <c r="AH215" s="544"/>
      <c r="AI215" s="544"/>
      <c r="AJ215" s="544"/>
    </row>
    <row r="216" spans="1:36" s="49" customFormat="1" ht="64.5" hidden="1" customHeight="1" thickTop="1" thickBot="1">
      <c r="A216" s="548"/>
      <c r="C216" s="387"/>
      <c r="D216" s="115"/>
      <c r="F216" s="116"/>
      <c r="G216" s="386"/>
      <c r="H216" s="286"/>
      <c r="I216" s="201">
        <v>0</v>
      </c>
      <c r="J216" s="386">
        <v>0</v>
      </c>
      <c r="K216" s="102">
        <v>0</v>
      </c>
      <c r="L216" s="123"/>
      <c r="M216" s="123"/>
      <c r="N216" s="123"/>
      <c r="O216" s="123"/>
      <c r="P216" s="486">
        <v>0</v>
      </c>
      <c r="Q216" s="390">
        <f t="shared" si="59"/>
        <v>0</v>
      </c>
      <c r="R216" s="486"/>
      <c r="S216" s="397">
        <f t="shared" si="69"/>
        <v>0</v>
      </c>
      <c r="T216" s="486">
        <v>0</v>
      </c>
      <c r="U216" s="124"/>
      <c r="V216" s="249">
        <f>S216+T216-R216</f>
        <v>0</v>
      </c>
      <c r="W216" s="392">
        <f t="shared" si="61"/>
        <v>0</v>
      </c>
      <c r="X216" s="392">
        <f t="shared" si="62"/>
        <v>0</v>
      </c>
      <c r="Y216" s="159"/>
      <c r="Z216" s="392">
        <f t="shared" ref="Z216" si="70">S216+T216-R216</f>
        <v>0</v>
      </c>
      <c r="AA216" s="392">
        <f t="shared" ref="AA216" si="71">ROUND((V216*23.8%),0)</f>
        <v>0</v>
      </c>
      <c r="AB216" s="392">
        <f t="shared" ref="AB216" si="72">ROUND((W216*2.88%),0)</f>
        <v>0</v>
      </c>
      <c r="AC216" s="392">
        <v>0</v>
      </c>
      <c r="AD216" s="394">
        <f t="shared" ref="AD216" si="73">ROUND((X216*0.5%),0)</f>
        <v>0</v>
      </c>
      <c r="AE216" s="395"/>
      <c r="AF216" s="396">
        <f t="shared" ref="AF216" si="74">SUM(AA216:AE216)</f>
        <v>0</v>
      </c>
      <c r="AG216" s="394">
        <f>ROUND((V216*8.5%),0)</f>
        <v>0</v>
      </c>
      <c r="AH216" s="249"/>
      <c r="AI216" s="249"/>
      <c r="AJ216" s="249"/>
    </row>
    <row r="217" spans="1:36" s="49" customFormat="1" ht="34.9" hidden="1" customHeight="1" thickTop="1">
      <c r="A217" s="548" t="s">
        <v>498</v>
      </c>
      <c r="C217" s="387"/>
      <c r="D217" s="157"/>
      <c r="E217" s="156"/>
      <c r="F217" s="156"/>
      <c r="G217" s="156"/>
      <c r="I217" s="171">
        <v>0</v>
      </c>
      <c r="J217" s="386">
        <v>0</v>
      </c>
      <c r="K217" s="102">
        <v>0</v>
      </c>
      <c r="L217" s="123"/>
      <c r="M217" s="123"/>
      <c r="N217" s="123"/>
      <c r="O217" s="123"/>
      <c r="P217" s="486">
        <v>0</v>
      </c>
      <c r="Q217" s="390">
        <f t="shared" si="59"/>
        <v>0</v>
      </c>
      <c r="R217" s="546"/>
      <c r="S217" s="397">
        <f t="shared" si="69"/>
        <v>0</v>
      </c>
      <c r="T217" s="546"/>
      <c r="U217" s="124"/>
      <c r="V217" s="249"/>
      <c r="W217" s="392"/>
      <c r="X217" s="392"/>
      <c r="Y217" s="159"/>
      <c r="Z217" s="392"/>
      <c r="AA217" s="392"/>
      <c r="AB217" s="392"/>
      <c r="AC217" s="392"/>
      <c r="AD217" s="547"/>
      <c r="AE217" s="395"/>
      <c r="AF217" s="392"/>
      <c r="AG217" s="547"/>
      <c r="AH217" s="249"/>
      <c r="AI217" s="249"/>
      <c r="AJ217" s="249"/>
    </row>
    <row r="218" spans="1:36" s="49" customFormat="1" ht="17.25" hidden="1" thickTop="1" thickBot="1">
      <c r="A218" s="964"/>
      <c r="B218" s="964"/>
      <c r="C218" s="965"/>
      <c r="D218" s="257" t="s">
        <v>196</v>
      </c>
      <c r="E218" s="185"/>
      <c r="F218" s="179" t="s">
        <v>108</v>
      </c>
      <c r="G218" s="185"/>
      <c r="H218" s="290"/>
      <c r="I218" s="199">
        <f>SUM(I211:I217)</f>
        <v>0</v>
      </c>
      <c r="J218" s="530">
        <f t="shared" ref="J218:T218" si="75">SUM(J211:J217)</f>
        <v>0</v>
      </c>
      <c r="K218" s="199">
        <f t="shared" si="75"/>
        <v>0</v>
      </c>
      <c r="L218" s="530">
        <f t="shared" si="75"/>
        <v>0</v>
      </c>
      <c r="M218" s="530">
        <f t="shared" si="75"/>
        <v>0</v>
      </c>
      <c r="N218" s="530">
        <f t="shared" si="75"/>
        <v>0</v>
      </c>
      <c r="O218" s="530">
        <f t="shared" si="75"/>
        <v>0</v>
      </c>
      <c r="P218" s="530">
        <f t="shared" si="75"/>
        <v>0</v>
      </c>
      <c r="Q218" s="530">
        <f t="shared" si="75"/>
        <v>0</v>
      </c>
      <c r="R218" s="530">
        <f t="shared" si="75"/>
        <v>0</v>
      </c>
      <c r="S218" s="530">
        <f t="shared" si="75"/>
        <v>0</v>
      </c>
      <c r="T218" s="530">
        <f t="shared" si="75"/>
        <v>0</v>
      </c>
      <c r="U218" s="180"/>
      <c r="V218" s="120">
        <f>S218+T218-R218</f>
        <v>0</v>
      </c>
      <c r="W218" s="120">
        <f>S218-P218-R218-K218</f>
        <v>0</v>
      </c>
      <c r="X218" s="120">
        <f>S218+T218-R218</f>
        <v>0</v>
      </c>
      <c r="Y218" s="120">
        <v>0</v>
      </c>
      <c r="Z218" s="120">
        <f>S218+T218-R218</f>
        <v>0</v>
      </c>
      <c r="AA218" s="120">
        <f>ROUND((V218*23.8%),0)</f>
        <v>0</v>
      </c>
      <c r="AB218" s="120">
        <f>ROUND((W218*2.88%),0)</f>
        <v>0</v>
      </c>
      <c r="AC218" s="120">
        <v>0</v>
      </c>
      <c r="AD218" s="120">
        <f>ROUND((X218*0.5%),0)</f>
        <v>0</v>
      </c>
      <c r="AE218" s="120">
        <f>ROUND((Y218*1.61%),0)</f>
        <v>0</v>
      </c>
      <c r="AF218" s="120">
        <f>SUM(AA218:AE218)</f>
        <v>0</v>
      </c>
      <c r="AG218" s="120">
        <f>ROUND((V218*8.5%),0)</f>
        <v>0</v>
      </c>
      <c r="AH218" s="120"/>
      <c r="AI218" s="120"/>
      <c r="AJ218" s="120"/>
    </row>
    <row r="219" spans="1:36" s="49" customFormat="1" ht="79.5" customHeight="1" thickTop="1" thickBot="1">
      <c r="A219" s="1004" t="s">
        <v>198</v>
      </c>
      <c r="B219" s="1004"/>
      <c r="C219" s="1004"/>
      <c r="D219" s="1004"/>
      <c r="E219" s="1004"/>
      <c r="F219" s="1004"/>
      <c r="G219" s="1005"/>
      <c r="H219" s="120">
        <f t="shared" ref="H219" si="76">SUM(H218:H218)</f>
        <v>0</v>
      </c>
      <c r="I219" s="570"/>
      <c r="J219" s="120"/>
      <c r="K219" s="570"/>
      <c r="L219" s="120"/>
      <c r="M219" s="120"/>
      <c r="N219" s="120"/>
      <c r="O219" s="120"/>
      <c r="P219" s="120"/>
      <c r="Q219" s="119"/>
      <c r="R219" s="119"/>
      <c r="S219" s="119">
        <f>S228</f>
        <v>147271.18</v>
      </c>
      <c r="T219" s="119"/>
      <c r="U219" s="119"/>
      <c r="V219" s="120">
        <f>S219+T219-R219</f>
        <v>147271.18</v>
      </c>
      <c r="W219" s="120">
        <f>S219-P219-R219-19751-P225+3431.98</f>
        <v>91956.859999999986</v>
      </c>
      <c r="X219" s="120">
        <f>S219+T219-R219</f>
        <v>147271.18</v>
      </c>
      <c r="Y219" s="120">
        <v>0</v>
      </c>
      <c r="Z219" s="120">
        <f>S219+T219-R219</f>
        <v>147271.18</v>
      </c>
      <c r="AA219" s="120">
        <f>ROUND((V219*23.8%),0)</f>
        <v>35051</v>
      </c>
      <c r="AB219" s="120">
        <v>0</v>
      </c>
      <c r="AC219" s="120">
        <v>0</v>
      </c>
      <c r="AD219" s="122">
        <f>ROUND((X219*0.5%),0)</f>
        <v>736</v>
      </c>
      <c r="AE219" s="318">
        <f>ROUND((Y219*1.61%),0)</f>
        <v>0</v>
      </c>
      <c r="AF219" s="120">
        <f>SUM(AA219:AE219)</f>
        <v>35787</v>
      </c>
      <c r="AG219" s="122">
        <f>ROUND((V219*8.5%),0)</f>
        <v>12518</v>
      </c>
      <c r="AH219" s="121">
        <f>SUM(AH218:AH218)</f>
        <v>0</v>
      </c>
      <c r="AI219" s="122">
        <f>S219-R219+T219-AA221-AB221-AC221</f>
        <v>147271.18</v>
      </c>
      <c r="AJ219" s="121">
        <f>ROUND((S219+T219-R219-AA221-AB221-AC221)*29%,0)</f>
        <v>42709</v>
      </c>
    </row>
    <row r="220" spans="1:36" s="49" customFormat="1" ht="16.5" thickTop="1">
      <c r="B220" s="348"/>
      <c r="C220" s="348"/>
      <c r="D220" s="349"/>
      <c r="E220" s="348"/>
      <c r="F220" s="350"/>
      <c r="G220" s="348"/>
      <c r="H220" s="130"/>
      <c r="I220" s="600"/>
      <c r="J220" s="130"/>
      <c r="K220" s="600"/>
      <c r="L220" s="130"/>
      <c r="M220" s="130"/>
      <c r="N220" s="130"/>
      <c r="O220" s="130"/>
      <c r="P220" s="130"/>
      <c r="Q220" s="155"/>
      <c r="R220" s="155"/>
      <c r="S220" s="155"/>
      <c r="T220" s="155"/>
      <c r="U220" s="155"/>
      <c r="V220" s="130"/>
      <c r="W220" s="130"/>
      <c r="X220" s="130"/>
      <c r="Y220" s="130"/>
      <c r="Z220" s="130"/>
      <c r="AA220" s="324"/>
      <c r="AB220" s="324"/>
      <c r="AC220" s="324"/>
      <c r="AD220" s="130"/>
      <c r="AE220" s="130"/>
      <c r="AF220" s="324"/>
      <c r="AG220" s="130"/>
      <c r="AH220" s="130"/>
      <c r="AI220" s="130"/>
      <c r="AJ220" s="130"/>
    </row>
    <row r="221" spans="1:36" s="49" customFormat="1" ht="16.5" thickBot="1">
      <c r="D221" s="115"/>
      <c r="F221" s="116"/>
      <c r="I221" s="602"/>
      <c r="J221" s="126"/>
      <c r="K221" s="602"/>
      <c r="L221" s="126"/>
      <c r="M221" s="126"/>
      <c r="N221" s="126"/>
      <c r="O221" s="126"/>
      <c r="P221" s="126"/>
      <c r="Q221" s="125"/>
      <c r="R221" s="125"/>
      <c r="S221" s="125"/>
      <c r="T221" s="351"/>
      <c r="U221" s="125"/>
      <c r="V221" s="123"/>
      <c r="W221" s="123"/>
      <c r="X221" s="127"/>
      <c r="Y221" s="127"/>
      <c r="Z221" s="126"/>
      <c r="AA221" s="129"/>
      <c r="AB221" s="121"/>
      <c r="AC221" s="121"/>
      <c r="AD221" s="130"/>
      <c r="AE221" s="48"/>
      <c r="AF221" s="121"/>
      <c r="AG221" s="127"/>
      <c r="AH221" s="126"/>
      <c r="AI221" s="126"/>
      <c r="AJ221" s="126"/>
    </row>
    <row r="222" spans="1:36" s="49" customFormat="1" ht="16.5" thickTop="1">
      <c r="D222" s="115"/>
      <c r="F222" s="116"/>
      <c r="I222" s="602"/>
      <c r="J222" s="126"/>
      <c r="K222" s="602"/>
      <c r="L222" s="126"/>
      <c r="M222" s="126"/>
      <c r="N222" s="126"/>
      <c r="O222" s="126"/>
      <c r="P222" s="126"/>
      <c r="Q222" s="125"/>
      <c r="R222" s="125"/>
      <c r="S222" s="125"/>
      <c r="T222" s="351"/>
      <c r="U222" s="125"/>
      <c r="V222" s="123"/>
      <c r="W222" s="123"/>
      <c r="X222" s="127"/>
      <c r="Y222" s="127"/>
      <c r="Z222" s="126"/>
      <c r="AA222" s="130"/>
      <c r="AB222" s="130"/>
      <c r="AC222" s="130"/>
      <c r="AD222" s="130"/>
      <c r="AE222" s="48"/>
      <c r="AF222" s="130"/>
      <c r="AG222" s="127"/>
      <c r="AH222" s="126"/>
      <c r="AI222" s="126"/>
      <c r="AJ222" s="126"/>
    </row>
    <row r="223" spans="1:36" s="49" customFormat="1" ht="15.75">
      <c r="D223" s="115"/>
      <c r="F223" s="116"/>
      <c r="I223" s="602"/>
      <c r="J223" s="126"/>
      <c r="K223" s="602"/>
      <c r="L223" s="126"/>
      <c r="M223" s="126"/>
      <c r="N223" s="126"/>
      <c r="O223" s="126"/>
      <c r="P223" s="126"/>
      <c r="Q223" s="125"/>
      <c r="R223" s="125"/>
      <c r="S223" s="125"/>
      <c r="T223" s="351"/>
      <c r="U223" s="125"/>
      <c r="V223" s="123"/>
      <c r="W223" s="123"/>
      <c r="X223" s="127"/>
      <c r="Y223" s="127"/>
      <c r="Z223" s="126"/>
      <c r="AA223" s="130"/>
      <c r="AB223" s="130"/>
      <c r="AC223" s="130"/>
      <c r="AD223" s="130"/>
      <c r="AE223" s="48"/>
      <c r="AF223" s="130"/>
      <c r="AG223" s="127"/>
      <c r="AH223" s="126"/>
      <c r="AI223" s="126"/>
      <c r="AJ223" s="126"/>
    </row>
    <row r="224" spans="1:36" s="49" customFormat="1" ht="16.5" thickBot="1">
      <c r="D224" s="115"/>
      <c r="F224" s="116"/>
      <c r="I224" s="602"/>
      <c r="J224" s="126"/>
      <c r="K224" s="602"/>
      <c r="L224" s="126"/>
      <c r="M224" s="126"/>
      <c r="N224" s="126"/>
      <c r="O224" s="126"/>
      <c r="P224" s="126"/>
      <c r="Q224" s="125"/>
      <c r="R224" s="125"/>
      <c r="S224" s="125"/>
      <c r="T224" s="125"/>
      <c r="U224" s="125"/>
      <c r="V224" s="123"/>
      <c r="W224" s="123"/>
      <c r="X224" s="127"/>
      <c r="Y224" s="127"/>
      <c r="Z224" s="126"/>
      <c r="AA224" s="130"/>
      <c r="AB224" s="130"/>
      <c r="AC224" s="130"/>
      <c r="AD224" s="130"/>
      <c r="AE224" s="48"/>
      <c r="AF224" s="130"/>
      <c r="AG224" s="127"/>
      <c r="AH224" s="126"/>
      <c r="AI224" s="126"/>
      <c r="AJ224" s="126"/>
    </row>
    <row r="225" spans="2:39" s="49" customFormat="1" ht="17.25" thickTop="1" thickBot="1">
      <c r="B225" s="983" t="s">
        <v>199</v>
      </c>
      <c r="C225" s="984"/>
      <c r="D225" s="984"/>
      <c r="E225" s="984"/>
      <c r="F225" s="984"/>
      <c r="G225" s="985"/>
      <c r="H225" s="352">
        <f>H17+H22+H29+H42+H47+H55+H61+H75+H82+H91+H102+H107+H127+H142+H147+H159+H164+H177+H182+H195+H200+H208+H219+H25+H210</f>
        <v>0</v>
      </c>
      <c r="I225" s="610">
        <f t="shared" ref="I225:AJ225" si="77">I17+I22+I29+I42+I47+I55+I61+I75+I82+I91+I102+I107+I127+I142+I147+I159+I164+I177+I182+I195+I200+I208+I219+I25+I218</f>
        <v>12332.559333333335</v>
      </c>
      <c r="J225" s="531">
        <f t="shared" si="77"/>
        <v>1604202.3879999998</v>
      </c>
      <c r="K225" s="531">
        <f t="shared" si="77"/>
        <v>15495.999999999998</v>
      </c>
      <c r="L225" s="531">
        <f t="shared" si="77"/>
        <v>4987.9799999999996</v>
      </c>
      <c r="M225" s="531">
        <f t="shared" si="77"/>
        <v>566.16000000000008</v>
      </c>
      <c r="N225" s="531">
        <f t="shared" si="77"/>
        <v>101322.73000000001</v>
      </c>
      <c r="O225" s="531">
        <f t="shared" si="77"/>
        <v>40106.554000000011</v>
      </c>
      <c r="P225" s="531">
        <f t="shared" si="77"/>
        <v>38995.300000000003</v>
      </c>
      <c r="Q225" s="531">
        <f t="shared" si="77"/>
        <v>151971.08000000002</v>
      </c>
      <c r="R225" s="531">
        <f t="shared" si="77"/>
        <v>9011.0400000000009</v>
      </c>
      <c r="S225" s="531">
        <f>S17+S22+S29+S42+S47+S55+S61+S75+S82+S91+S102+S107+S127+S142+S147+S159+S164+S177+S182+S195+S200+S208+S219+S25+S218</f>
        <v>2126178.1008333336</v>
      </c>
      <c r="T225" s="531">
        <f t="shared" si="77"/>
        <v>0</v>
      </c>
      <c r="U225" s="531">
        <f t="shared" si="77"/>
        <v>0</v>
      </c>
      <c r="V225" s="531">
        <f t="shared" si="77"/>
        <v>2117167.0608333335</v>
      </c>
      <c r="W225" s="531">
        <f t="shared" si="77"/>
        <v>2007361.4408333329</v>
      </c>
      <c r="X225" s="531">
        <f t="shared" si="77"/>
        <v>2117167.0608333335</v>
      </c>
      <c r="Y225" s="531">
        <f t="shared" si="77"/>
        <v>86658.624833333335</v>
      </c>
      <c r="Z225" s="531">
        <f t="shared" si="77"/>
        <v>2004969.9008333334</v>
      </c>
      <c r="AA225" s="531">
        <f t="shared" si="77"/>
        <v>503887</v>
      </c>
      <c r="AB225" s="531">
        <f t="shared" si="77"/>
        <v>55163</v>
      </c>
      <c r="AC225" s="531">
        <f t="shared" si="77"/>
        <v>0</v>
      </c>
      <c r="AD225" s="531">
        <f t="shared" si="77"/>
        <v>16409</v>
      </c>
      <c r="AE225" s="531">
        <f t="shared" si="77"/>
        <v>1395</v>
      </c>
      <c r="AF225" s="531">
        <f t="shared" si="77"/>
        <v>576854</v>
      </c>
      <c r="AG225" s="531">
        <f t="shared" si="77"/>
        <v>154410</v>
      </c>
      <c r="AH225" s="531">
        <f t="shared" si="77"/>
        <v>43454.85</v>
      </c>
      <c r="AI225" s="531">
        <f t="shared" si="77"/>
        <v>2117167.0608333335</v>
      </c>
      <c r="AJ225" s="531">
        <f t="shared" si="77"/>
        <v>613978</v>
      </c>
    </row>
    <row r="226" spans="2:39" s="49" customFormat="1" ht="17.25" thickTop="1" thickBot="1">
      <c r="C226" s="156"/>
      <c r="D226" s="157"/>
      <c r="E226" s="156"/>
      <c r="F226" s="158"/>
      <c r="G226" s="156"/>
      <c r="H226" s="156"/>
      <c r="I226" s="601"/>
      <c r="J226" s="146"/>
      <c r="K226" s="601"/>
      <c r="L226" s="146"/>
      <c r="M226" s="146"/>
      <c r="N226" s="146"/>
      <c r="O226" s="146"/>
      <c r="P226" s="146"/>
      <c r="Q226" s="145"/>
      <c r="R226" s="145"/>
      <c r="S226" s="145"/>
      <c r="T226" s="145"/>
      <c r="U226" s="145"/>
      <c r="V226" s="146"/>
      <c r="W226" s="146"/>
      <c r="X226" s="146"/>
      <c r="Y226" s="146"/>
      <c r="Z226" s="146"/>
      <c r="AA226" s="129"/>
      <c r="AB226" s="121"/>
      <c r="AC226" s="121"/>
      <c r="AD226" s="126"/>
      <c r="AE226" s="126"/>
      <c r="AF226" s="691"/>
      <c r="AG226" s="126"/>
      <c r="AH226" s="146"/>
      <c r="AI226" s="146"/>
      <c r="AJ226" s="146"/>
    </row>
    <row r="227" spans="2:39" s="49" customFormat="1" ht="16.5" thickTop="1">
      <c r="D227" s="115"/>
      <c r="F227" s="116"/>
      <c r="I227" s="602"/>
      <c r="J227" s="126"/>
      <c r="K227" s="602"/>
      <c r="L227" s="126"/>
      <c r="M227" s="126"/>
      <c r="N227" s="126"/>
      <c r="O227" s="126"/>
      <c r="P227" s="126"/>
      <c r="Q227" s="125"/>
      <c r="R227" s="125"/>
      <c r="S227" s="125">
        <f>280767.49+3421.41+19751-P225-119634.46-3554.76</f>
        <v>141755.37999999995</v>
      </c>
      <c r="T227" s="125"/>
      <c r="U227" s="125"/>
      <c r="V227" s="123"/>
      <c r="W227" s="123"/>
      <c r="X227" s="127"/>
      <c r="Y227" s="127"/>
      <c r="Z227" s="126"/>
      <c r="AA227" s="130"/>
      <c r="AB227" s="130"/>
      <c r="AC227" s="130"/>
      <c r="AD227" s="130"/>
      <c r="AE227" s="48"/>
      <c r="AF227" s="130"/>
      <c r="AG227" s="127"/>
      <c r="AH227" s="126"/>
      <c r="AI227" s="126"/>
      <c r="AJ227" s="126"/>
    </row>
    <row r="228" spans="2:39" s="49" customFormat="1" ht="15.75">
      <c r="D228" s="115"/>
      <c r="F228" s="116"/>
      <c r="I228" s="602"/>
      <c r="J228" s="126"/>
      <c r="K228" s="602"/>
      <c r="L228" s="126"/>
      <c r="M228" s="126"/>
      <c r="N228" s="126"/>
      <c r="O228" s="126"/>
      <c r="P228" s="126"/>
      <c r="Q228" s="125"/>
      <c r="R228" s="125"/>
      <c r="S228" s="125">
        <f>'FES IPOTESI 2020'!AF27+'FES IPOTESI 2020'!AG27+'FES IPOTESI 2020'!J30</f>
        <v>147271.18</v>
      </c>
      <c r="T228" s="125"/>
      <c r="U228" s="125"/>
      <c r="X228" s="127"/>
      <c r="Y228" s="127"/>
      <c r="Z228" s="126"/>
      <c r="AA228" s="130"/>
      <c r="AB228" s="130"/>
      <c r="AC228" s="130"/>
      <c r="AD228" s="130"/>
      <c r="AE228" s="48"/>
      <c r="AF228" s="130"/>
      <c r="AG228" s="127"/>
      <c r="AH228" s="126"/>
      <c r="AI228" s="126"/>
      <c r="AJ228" s="126"/>
    </row>
    <row r="229" spans="2:39" s="49" customFormat="1" ht="15.75">
      <c r="C229" s="156"/>
      <c r="D229" s="157"/>
      <c r="E229" s="156"/>
      <c r="F229" s="158"/>
      <c r="G229" s="156"/>
      <c r="H229" s="156"/>
      <c r="I229" s="601"/>
      <c r="J229" s="146"/>
      <c r="K229" s="601"/>
      <c r="L229" s="146"/>
      <c r="M229" s="146"/>
      <c r="N229" s="146"/>
      <c r="O229" s="146"/>
      <c r="P229" s="146"/>
      <c r="Q229" s="408"/>
      <c r="R229" s="145"/>
      <c r="S229" s="145">
        <f>268750.53-P225+3421.41+19751-119634.46+5860.16+74*83.2</f>
        <v>145310.14000000004</v>
      </c>
      <c r="T229" s="145"/>
      <c r="U229" s="145"/>
      <c r="V229" s="146"/>
      <c r="W229" s="146"/>
      <c r="X229" s="146"/>
      <c r="Y229" s="146"/>
      <c r="Z229" s="146"/>
      <c r="AA229" s="146"/>
      <c r="AB229" s="123" t="s">
        <v>200</v>
      </c>
      <c r="AC229" s="123">
        <f>S225+T225+AA225+AB225+AD225+AE225+AG225</f>
        <v>2857442.1008333336</v>
      </c>
      <c r="AD229" s="146"/>
      <c r="AE229" s="146"/>
      <c r="AF229" s="146"/>
      <c r="AG229" s="146"/>
      <c r="AH229" s="146"/>
      <c r="AI229" s="146"/>
      <c r="AJ229" s="146"/>
    </row>
    <row r="230" spans="2:39" s="49" customFormat="1">
      <c r="I230" s="102"/>
      <c r="K230" s="102"/>
      <c r="Q230" s="191"/>
      <c r="R230" s="191"/>
      <c r="S230" s="191"/>
      <c r="T230" s="191"/>
      <c r="U230" s="191"/>
    </row>
    <row r="231" spans="2:39" s="49" customFormat="1">
      <c r="I231" s="102"/>
      <c r="K231" s="102"/>
      <c r="Q231" s="191"/>
      <c r="R231" s="191"/>
      <c r="S231" s="191"/>
      <c r="T231" s="191"/>
      <c r="U231" s="191"/>
    </row>
    <row r="232" spans="2:39" s="49" customFormat="1" ht="15.75">
      <c r="C232" s="156"/>
      <c r="D232" s="157"/>
      <c r="E232" s="156"/>
      <c r="F232" s="158"/>
      <c r="G232" s="156"/>
      <c r="H232" s="156"/>
      <c r="I232" s="601"/>
      <c r="J232" s="146"/>
      <c r="K232" s="614"/>
      <c r="L232" s="146"/>
      <c r="M232" s="146"/>
      <c r="N232" s="146"/>
      <c r="O232" s="146"/>
      <c r="P232" s="146"/>
      <c r="Q232" s="145"/>
      <c r="R232" s="145"/>
      <c r="S232" s="145"/>
      <c r="T232" s="145"/>
      <c r="U232" s="145"/>
      <c r="V232" s="146"/>
      <c r="W232" s="146"/>
      <c r="X232" s="146"/>
      <c r="Y232" s="146"/>
      <c r="Z232" s="146"/>
      <c r="AA232" s="130"/>
      <c r="AB232" s="130"/>
      <c r="AC232" s="130"/>
      <c r="AD232" s="126"/>
      <c r="AE232" s="126"/>
      <c r="AF232" s="126"/>
      <c r="AG232" s="126"/>
      <c r="AH232" s="146"/>
      <c r="AI232" s="146"/>
      <c r="AJ232" s="146"/>
    </row>
    <row r="233" spans="2:39" s="49" customFormat="1" ht="90" customHeight="1">
      <c r="C233" s="156"/>
      <c r="D233" s="157"/>
      <c r="E233" s="156"/>
      <c r="F233" s="158"/>
      <c r="G233" s="156"/>
      <c r="H233" s="156"/>
      <c r="I233" s="601"/>
      <c r="J233" s="146"/>
      <c r="K233" s="614"/>
      <c r="L233" s="146"/>
      <c r="M233" s="146"/>
      <c r="N233" s="146"/>
      <c r="O233" s="146"/>
      <c r="P233" s="146"/>
      <c r="Q233" s="145"/>
      <c r="R233" s="408"/>
      <c r="S233" s="145"/>
      <c r="T233" s="145"/>
      <c r="U233" s="145"/>
      <c r="V233" s="146"/>
      <c r="W233" s="146"/>
      <c r="X233" s="146"/>
      <c r="Y233" s="400"/>
      <c r="Z233" s="400"/>
      <c r="AA233" s="400"/>
      <c r="AB233" s="400"/>
      <c r="AC233" s="400"/>
      <c r="AD233" s="400"/>
      <c r="AE233" s="400"/>
      <c r="AF233" s="400"/>
      <c r="AG233" s="400"/>
      <c r="AH233" s="400"/>
      <c r="AI233" s="400"/>
      <c r="AJ233" s="400"/>
      <c r="AK233" s="400"/>
      <c r="AL233" s="400"/>
      <c r="AM233" s="400"/>
    </row>
    <row r="234" spans="2:39" s="49" customFormat="1">
      <c r="C234" s="156"/>
      <c r="D234" s="157"/>
      <c r="E234" s="156"/>
      <c r="F234" s="158"/>
      <c r="G234" s="156"/>
      <c r="H234" s="156"/>
      <c r="I234" s="601"/>
      <c r="J234" s="146"/>
      <c r="K234" s="601"/>
      <c r="L234" s="146"/>
      <c r="M234" s="146"/>
      <c r="N234" s="146"/>
      <c r="O234" s="146"/>
      <c r="P234" s="146"/>
      <c r="Q234" s="145"/>
      <c r="R234" s="145"/>
      <c r="S234" s="145"/>
      <c r="T234" s="145"/>
      <c r="U234" s="145"/>
      <c r="V234" s="146"/>
      <c r="Z234" s="400"/>
      <c r="AA234" s="400"/>
      <c r="AB234" s="354"/>
      <c r="AC234" s="146"/>
      <c r="AD234" s="398">
        <f>AC229</f>
        <v>2857442.1008333336</v>
      </c>
      <c r="AE234" s="400"/>
      <c r="AF234" s="400"/>
      <c r="AG234" s="400"/>
      <c r="AH234" s="400"/>
      <c r="AI234" s="400"/>
      <c r="AJ234" s="400"/>
      <c r="AK234" s="400"/>
      <c r="AL234" s="400"/>
      <c r="AM234" s="400"/>
    </row>
    <row r="235" spans="2:39" s="49" customFormat="1" ht="90" customHeight="1">
      <c r="C235" s="986"/>
      <c r="D235" s="986"/>
      <c r="E235" s="986"/>
      <c r="F235" s="986"/>
      <c r="G235" s="986"/>
      <c r="H235" s="986"/>
      <c r="I235" s="986"/>
      <c r="J235" s="986"/>
      <c r="K235" s="601"/>
      <c r="L235" s="146"/>
      <c r="M235" s="146"/>
      <c r="N235" s="146"/>
      <c r="O235" s="146"/>
      <c r="P235" s="146"/>
      <c r="Q235" s="145"/>
      <c r="R235" s="145"/>
      <c r="S235" s="145"/>
      <c r="T235" s="145"/>
      <c r="U235" s="145"/>
      <c r="V235" s="146"/>
      <c r="Z235" s="400"/>
      <c r="AA235" s="400"/>
      <c r="AB235" s="927" t="s">
        <v>477</v>
      </c>
      <c r="AC235" s="927"/>
      <c r="AD235" s="895">
        <f>(S36+S41+S8+S13)*35.68%++S41+S8+S36+S13</f>
        <v>118431.20512000001</v>
      </c>
      <c r="AE235" s="400"/>
      <c r="AF235" s="400"/>
      <c r="AG235" s="400"/>
      <c r="AH235" s="400"/>
      <c r="AI235" s="400"/>
      <c r="AJ235" s="400"/>
      <c r="AK235" s="400"/>
      <c r="AL235" s="400"/>
      <c r="AM235" s="400"/>
    </row>
    <row r="236" spans="2:39" s="49" customFormat="1" ht="60" customHeight="1">
      <c r="C236" s="987" t="s">
        <v>201</v>
      </c>
      <c r="D236" s="987"/>
      <c r="E236" s="987"/>
      <c r="F236" s="987"/>
      <c r="G236" s="987"/>
      <c r="H236" s="987"/>
      <c r="I236" s="987"/>
      <c r="J236" s="987"/>
      <c r="K236" s="615"/>
      <c r="L236" s="405"/>
      <c r="M236" s="405"/>
      <c r="N236" s="405"/>
      <c r="O236" s="405"/>
      <c r="P236" s="146"/>
      <c r="Q236" s="145"/>
      <c r="R236" s="145"/>
      <c r="S236" s="145"/>
      <c r="T236" s="145"/>
      <c r="U236" s="145"/>
      <c r="V236" s="146"/>
      <c r="Z236" s="400"/>
      <c r="AA236" s="400"/>
      <c r="AB236" s="927" t="s">
        <v>202</v>
      </c>
      <c r="AC236" s="927"/>
      <c r="AD236" s="353">
        <f>AD234-AD235</f>
        <v>2739010.8957133335</v>
      </c>
      <c r="AE236" s="400"/>
      <c r="AF236" s="400"/>
      <c r="AG236" s="400"/>
      <c r="AH236" s="400"/>
      <c r="AI236" s="400"/>
      <c r="AJ236" s="400"/>
      <c r="AK236" s="400"/>
      <c r="AL236" s="400"/>
      <c r="AM236" s="400"/>
    </row>
    <row r="237" spans="2:39" s="49" customFormat="1" ht="58.5" customHeight="1">
      <c r="C237" s="988" t="s">
        <v>673</v>
      </c>
      <c r="D237" s="989"/>
      <c r="E237" s="990"/>
      <c r="F237" s="990"/>
      <c r="G237" s="932">
        <f>AD234</f>
        <v>2857442.1008333336</v>
      </c>
      <c r="H237" s="933"/>
      <c r="I237" s="102"/>
      <c r="K237" s="616"/>
      <c r="L237" s="980"/>
      <c r="M237" s="981"/>
      <c r="N237" s="982"/>
      <c r="O237" s="982"/>
      <c r="P237" s="355"/>
      <c r="Q237" s="355"/>
      <c r="R237" s="932">
        <f>AH234</f>
        <v>0</v>
      </c>
      <c r="S237" s="933"/>
      <c r="T237" s="145"/>
      <c r="U237" s="145"/>
      <c r="V237" s="146"/>
      <c r="Z237" s="400"/>
      <c r="AA237" s="400"/>
      <c r="AB237" s="926" t="s">
        <v>697</v>
      </c>
      <c r="AC237" s="926"/>
      <c r="AD237" s="353">
        <f>S27+S119+S133+S156+S206+S132+S40+(S27+S119+S133+S156+S206+S132+S40)*23.8%+(S27+S119+S133+S156+S206+S132+S40)*8.5%+(S27+S119+S133+S156+S206+S132+S40)*0.5%+(S27+S119+S133+S156+S206+S132+S40-K27-P27-K119-P119-K133-P133-K132-P132-K156-P156-K206-P206-K40-P40)*2.88%</f>
        <v>86122.244842666667</v>
      </c>
      <c r="AE237" s="400"/>
      <c r="AF237" s="400"/>
      <c r="AG237" s="400"/>
      <c r="AH237" s="400"/>
      <c r="AI237" s="400"/>
      <c r="AJ237" s="400"/>
      <c r="AK237" s="400"/>
      <c r="AL237" s="400"/>
      <c r="AM237" s="400"/>
    </row>
    <row r="238" spans="2:39" s="49" customFormat="1">
      <c r="C238" s="988" t="s">
        <v>203</v>
      </c>
      <c r="D238" s="989"/>
      <c r="E238" s="990"/>
      <c r="F238" s="990"/>
      <c r="G238" s="932">
        <v>22500</v>
      </c>
      <c r="H238" s="933"/>
      <c r="I238" s="102"/>
      <c r="K238" s="617"/>
      <c r="L238" s="980"/>
      <c r="M238" s="981"/>
      <c r="N238" s="982"/>
      <c r="O238" s="982"/>
      <c r="P238" s="356"/>
      <c r="Q238" s="356"/>
      <c r="R238" s="932">
        <v>22500</v>
      </c>
      <c r="S238" s="933"/>
      <c r="T238" s="145"/>
      <c r="U238" s="145"/>
      <c r="V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</row>
    <row r="239" spans="2:39" s="49" customFormat="1">
      <c r="C239" s="907" t="s">
        <v>728</v>
      </c>
      <c r="D239" s="908"/>
      <c r="E239" s="909"/>
      <c r="F239" s="909"/>
      <c r="G239" s="910">
        <v>15000</v>
      </c>
      <c r="H239" s="911"/>
      <c r="I239" s="102"/>
      <c r="K239" s="617"/>
      <c r="L239" s="913"/>
      <c r="M239" s="914"/>
      <c r="N239" s="912"/>
      <c r="O239" s="912"/>
      <c r="P239" s="356"/>
      <c r="Q239" s="356"/>
      <c r="R239" s="910"/>
      <c r="S239" s="911"/>
      <c r="T239" s="145"/>
      <c r="U239" s="145"/>
      <c r="V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</row>
    <row r="240" spans="2:39" s="49" customFormat="1">
      <c r="C240" s="988" t="s">
        <v>204</v>
      </c>
      <c r="D240" s="989"/>
      <c r="E240" s="990"/>
      <c r="F240" s="990"/>
      <c r="G240" s="932">
        <v>292930</v>
      </c>
      <c r="H240" s="933"/>
      <c r="I240" s="102"/>
      <c r="K240" s="617"/>
      <c r="L240" s="980"/>
      <c r="M240" s="981"/>
      <c r="N240" s="982"/>
      <c r="O240" s="982"/>
      <c r="P240" s="356"/>
      <c r="Q240" s="356"/>
      <c r="R240" s="932">
        <v>292930</v>
      </c>
      <c r="S240" s="933"/>
      <c r="T240" s="145"/>
      <c r="U240" s="145"/>
      <c r="V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</row>
    <row r="241" spans="3:36" s="49" customFormat="1">
      <c r="C241" s="988" t="s">
        <v>472</v>
      </c>
      <c r="D241" s="989"/>
      <c r="E241" s="990"/>
      <c r="F241" s="990"/>
      <c r="G241" s="934">
        <v>4600</v>
      </c>
      <c r="H241" s="935"/>
      <c r="I241" s="102"/>
      <c r="K241" s="617"/>
      <c r="L241" s="640"/>
      <c r="M241" s="641"/>
      <c r="N241" s="642"/>
      <c r="O241" s="642"/>
      <c r="P241" s="356"/>
      <c r="Q241" s="356"/>
      <c r="R241" s="532"/>
      <c r="S241" s="533"/>
      <c r="T241" s="145"/>
      <c r="U241" s="145"/>
      <c r="V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</row>
    <row r="242" spans="3:36" s="49" customFormat="1">
      <c r="C242" s="574" t="s">
        <v>556</v>
      </c>
      <c r="D242" s="575"/>
      <c r="E242" s="576"/>
      <c r="F242" s="576"/>
      <c r="G242" s="932">
        <f>10000+2000+100*12</f>
        <v>13200</v>
      </c>
      <c r="H242" s="933"/>
      <c r="I242" s="102"/>
      <c r="K242" s="617"/>
      <c r="L242" s="640"/>
      <c r="M242" s="641"/>
      <c r="N242" s="642"/>
      <c r="O242" s="642"/>
      <c r="P242" s="356"/>
      <c r="Q242" s="356"/>
      <c r="R242" s="577"/>
      <c r="S242" s="578"/>
      <c r="T242" s="145"/>
      <c r="U242" s="145"/>
      <c r="V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</row>
    <row r="243" spans="3:36" s="49" customFormat="1">
      <c r="C243" s="574" t="s">
        <v>572</v>
      </c>
      <c r="D243" s="575"/>
      <c r="E243" s="576"/>
      <c r="F243" s="576"/>
      <c r="G243" s="932">
        <f>'CALCOLO VAC. E PEREQ 2020'!K118</f>
        <v>33747.206605659507</v>
      </c>
      <c r="H243" s="933"/>
      <c r="I243" s="102"/>
      <c r="K243" s="617"/>
      <c r="L243" s="640"/>
      <c r="M243" s="641"/>
      <c r="N243" s="642"/>
      <c r="O243" s="642"/>
      <c r="P243" s="356"/>
      <c r="Q243" s="356"/>
      <c r="R243" s="577"/>
      <c r="S243" s="578"/>
      <c r="T243" s="145"/>
      <c r="U243" s="145"/>
      <c r="V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</row>
    <row r="244" spans="3:36" s="49" customFormat="1">
      <c r="C244" s="991" t="s">
        <v>473</v>
      </c>
      <c r="D244" s="991"/>
      <c r="E244" s="990"/>
      <c r="F244" s="990"/>
      <c r="G244" s="938">
        <f>SUM(G237:G243)</f>
        <v>3239419.3074389929</v>
      </c>
      <c r="H244" s="939"/>
      <c r="I244" s="102"/>
      <c r="K244" s="617"/>
      <c r="L244" s="992"/>
      <c r="M244" s="992"/>
      <c r="N244" s="982"/>
      <c r="O244" s="982"/>
      <c r="P244" s="356"/>
      <c r="Q244" s="356"/>
      <c r="R244" s="938">
        <f>SUM(R237:R240)</f>
        <v>315430</v>
      </c>
      <c r="S244" s="939"/>
      <c r="T244" s="145"/>
      <c r="U244" s="145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</row>
    <row r="245" spans="3:36" s="49" customFormat="1" ht="153" customHeight="1">
      <c r="C245" s="574" t="s">
        <v>222</v>
      </c>
      <c r="D245" s="419"/>
      <c r="E245" s="403"/>
      <c r="F245" s="403"/>
      <c r="G245" s="938">
        <f>'IMPORT. ARRETR. CCNL 21-05-IP1'!AE31+'CALCOLO VAC. E PEREQ 2020'!S108+'CALCOLO VAC. E PEREQ 2020'!S110+'CALCOLO VAC. E PEREQ 2020'!T110+'CALCOLO VAC. E PEREQ 2020'!U110+'CALCOLO VAC. E PEREQ 2020'!W110+'CALCOLO VAC. E PEREQ 2020'!X110</f>
        <v>137278.75549668664</v>
      </c>
      <c r="H245" s="939"/>
      <c r="I245" s="102"/>
      <c r="K245" s="617"/>
      <c r="L245" s="993"/>
      <c r="M245" s="993"/>
      <c r="N245" s="993"/>
      <c r="O245" s="993"/>
      <c r="P245" s="356"/>
      <c r="Q245" s="356"/>
      <c r="R245" s="938">
        <v>89896.960000000006</v>
      </c>
      <c r="S245" s="939"/>
      <c r="T245" s="145"/>
      <c r="U245" s="145"/>
      <c r="V245" s="146"/>
      <c r="W245" s="146"/>
      <c r="X245" s="146"/>
      <c r="Y245" s="146"/>
      <c r="Z245" s="146"/>
      <c r="AA245" s="146"/>
      <c r="AB245" s="146"/>
      <c r="AC245" s="146"/>
      <c r="AD245" s="146" t="e">
        <f>AD236+#REF!</f>
        <v>#REF!</v>
      </c>
      <c r="AE245" s="146"/>
      <c r="AF245" s="146"/>
      <c r="AG245" s="146"/>
      <c r="AH245" s="146"/>
      <c r="AI245" s="146"/>
      <c r="AJ245" s="146"/>
    </row>
    <row r="246" spans="3:36" s="49" customFormat="1" ht="25.5" customHeight="1">
      <c r="C246" s="574" t="s">
        <v>573</v>
      </c>
      <c r="D246" s="574"/>
      <c r="E246" s="403"/>
      <c r="F246" s="403"/>
      <c r="G246" s="938">
        <f>G243</f>
        <v>33747.206605659507</v>
      </c>
      <c r="H246" s="939"/>
      <c r="I246" s="102"/>
      <c r="K246" s="617"/>
      <c r="L246" s="584"/>
      <c r="M246" s="584"/>
      <c r="N246" s="584"/>
      <c r="O246" s="584"/>
      <c r="P246" s="356"/>
      <c r="Q246" s="356"/>
      <c r="R246" s="579"/>
      <c r="S246" s="580"/>
      <c r="T246" s="145"/>
      <c r="U246" s="145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</row>
    <row r="247" spans="3:36" s="49" customFormat="1">
      <c r="C247" s="402" t="s">
        <v>226</v>
      </c>
      <c r="D247" s="64"/>
      <c r="E247" s="64"/>
      <c r="F247" s="64"/>
      <c r="G247" s="940">
        <f>AD235</f>
        <v>118431.20512000001</v>
      </c>
      <c r="H247" s="941"/>
      <c r="I247" s="102"/>
      <c r="K247" s="102"/>
      <c r="L247" s="994"/>
      <c r="M247" s="994"/>
      <c r="N247" s="994"/>
      <c r="O247" s="994"/>
      <c r="P247" s="356"/>
      <c r="Q247" s="356"/>
      <c r="R247" s="940">
        <f>AE235</f>
        <v>0</v>
      </c>
      <c r="S247" s="941"/>
      <c r="T247" s="145"/>
      <c r="U247" s="145"/>
      <c r="V247" s="146"/>
      <c r="W247" s="146"/>
      <c r="X247" s="146"/>
      <c r="Y247" s="146"/>
      <c r="Z247" s="146"/>
      <c r="AA247" s="146"/>
      <c r="AB247" s="400">
        <f>2690802.18-2662822.73</f>
        <v>27979.450000000186</v>
      </c>
      <c r="AC247" s="146"/>
      <c r="AD247" s="146"/>
      <c r="AE247" s="146"/>
      <c r="AF247" s="146"/>
      <c r="AG247" s="146"/>
      <c r="AH247" s="146"/>
      <c r="AI247" s="146"/>
      <c r="AJ247" s="146"/>
    </row>
    <row r="248" spans="3:36" s="49" customFormat="1" ht="30">
      <c r="C248" s="541" t="s">
        <v>481</v>
      </c>
      <c r="D248" s="64"/>
      <c r="E248" s="64"/>
      <c r="F248" s="64"/>
      <c r="G248" s="936">
        <f>34829.16</f>
        <v>34829.160000000003</v>
      </c>
      <c r="H248" s="937"/>
      <c r="I248" s="102"/>
      <c r="K248" s="102"/>
      <c r="L248" s="585"/>
      <c r="M248" s="585"/>
      <c r="N248" s="585"/>
      <c r="O248" s="585"/>
      <c r="P248" s="356"/>
      <c r="Q248" s="356"/>
      <c r="R248" s="534"/>
      <c r="S248" s="535"/>
      <c r="T248" s="145"/>
      <c r="U248" s="145"/>
      <c r="V248" s="146"/>
      <c r="W248" s="146"/>
      <c r="X248" s="146"/>
      <c r="Y248" s="146"/>
      <c r="Z248" s="146"/>
      <c r="AA248" s="146"/>
      <c r="AB248" s="400"/>
      <c r="AC248" s="146"/>
      <c r="AD248" s="146"/>
      <c r="AE248" s="146"/>
      <c r="AF248" s="146"/>
      <c r="AG248" s="146"/>
      <c r="AH248" s="146"/>
      <c r="AI248" s="146"/>
      <c r="AJ248" s="146"/>
    </row>
    <row r="249" spans="3:36" s="49" customFormat="1" ht="25.5">
      <c r="C249" s="459" t="s">
        <v>697</v>
      </c>
      <c r="D249" s="64"/>
      <c r="E249" s="64"/>
      <c r="F249" s="64"/>
      <c r="G249" s="811">
        <f>AD237</f>
        <v>86122.244842666667</v>
      </c>
      <c r="H249" s="812"/>
      <c r="I249" s="102"/>
      <c r="K249" s="102"/>
      <c r="L249" s="807"/>
      <c r="M249" s="807"/>
      <c r="N249" s="807"/>
      <c r="O249" s="807"/>
      <c r="P249" s="356"/>
      <c r="Q249" s="356"/>
      <c r="R249" s="808"/>
      <c r="S249" s="809"/>
      <c r="T249" s="145"/>
      <c r="U249" s="145"/>
      <c r="V249" s="146"/>
      <c r="W249" s="146"/>
      <c r="X249" s="146"/>
      <c r="Y249" s="146"/>
      <c r="Z249" s="146"/>
      <c r="AA249" s="146"/>
      <c r="AB249" s="400"/>
      <c r="AC249" s="146"/>
      <c r="AD249" s="146"/>
      <c r="AE249" s="146"/>
      <c r="AF249" s="146"/>
      <c r="AG249" s="146"/>
      <c r="AH249" s="146"/>
      <c r="AI249" s="146"/>
      <c r="AJ249" s="146"/>
    </row>
    <row r="250" spans="3:36" s="49" customFormat="1" ht="29.25" customHeight="1">
      <c r="C250" s="991" t="s">
        <v>554</v>
      </c>
      <c r="D250" s="991"/>
      <c r="E250" s="990"/>
      <c r="F250" s="990"/>
      <c r="G250" s="938">
        <f>G244-G245-G247-G248-G246-G249</f>
        <v>2829010.7353739799</v>
      </c>
      <c r="H250" s="939"/>
      <c r="I250" s="102"/>
      <c r="K250" s="617"/>
      <c r="L250" s="992"/>
      <c r="M250" s="992"/>
      <c r="N250" s="982"/>
      <c r="O250" s="982"/>
      <c r="P250" s="356"/>
      <c r="Q250" s="356"/>
      <c r="R250" s="938">
        <f>R244-R245-R247</f>
        <v>225533.03999999998</v>
      </c>
      <c r="S250" s="939"/>
      <c r="T250" s="145"/>
      <c r="U250" s="145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</row>
    <row r="251" spans="3:36" s="49" customFormat="1" ht="30" customHeight="1">
      <c r="C251" s="991" t="s">
        <v>227</v>
      </c>
      <c r="D251" s="996"/>
      <c r="E251" s="403"/>
      <c r="F251" s="403"/>
      <c r="G251" s="938">
        <f>3036353-38561.69</f>
        <v>2997791.31</v>
      </c>
      <c r="H251" s="939"/>
      <c r="I251" s="102"/>
      <c r="K251" s="617"/>
      <c r="L251" s="997"/>
      <c r="M251" s="997"/>
      <c r="N251" s="997"/>
      <c r="O251" s="997"/>
      <c r="P251" s="356"/>
      <c r="Q251" s="356"/>
      <c r="R251" s="938">
        <f>3036353-40000</f>
        <v>2996353</v>
      </c>
      <c r="S251" s="939"/>
      <c r="T251" s="145"/>
      <c r="U251" s="145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</row>
    <row r="252" spans="3:36" s="49" customFormat="1">
      <c r="C252" s="459"/>
      <c r="D252" s="404"/>
      <c r="E252" s="403"/>
      <c r="F252" s="403"/>
      <c r="G252" s="866"/>
      <c r="H252" s="356"/>
      <c r="I252" s="102"/>
      <c r="K252" s="617"/>
      <c r="L252" s="643"/>
      <c r="M252" s="643"/>
      <c r="N252" s="644"/>
      <c r="O252" s="644"/>
      <c r="P252" s="356"/>
      <c r="Q252" s="356"/>
      <c r="R252" s="357"/>
      <c r="S252" s="356"/>
      <c r="T252" s="145"/>
      <c r="U252" s="145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</row>
    <row r="253" spans="3:36" s="49" customFormat="1">
      <c r="C253" s="991" t="s">
        <v>205</v>
      </c>
      <c r="D253" s="996"/>
      <c r="E253" s="403"/>
      <c r="F253" s="403"/>
      <c r="G253" s="938">
        <f>G251-G250</f>
        <v>168780.57462602016</v>
      </c>
      <c r="H253" s="939"/>
      <c r="I253" s="102"/>
      <c r="K253" s="617"/>
      <c r="L253" s="998"/>
      <c r="M253" s="998"/>
      <c r="N253" s="998"/>
      <c r="O253" s="998"/>
      <c r="P253" s="356"/>
      <c r="Q253" s="356"/>
      <c r="R253" s="999">
        <f>R251-R250</f>
        <v>2770819.96</v>
      </c>
      <c r="S253" s="1000"/>
      <c r="T253" s="408">
        <v>118127.48</v>
      </c>
      <c r="U253" s="145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</row>
    <row r="254" spans="3:36" s="49" customFormat="1" ht="81" customHeight="1">
      <c r="C254" s="156"/>
      <c r="D254" s="157"/>
      <c r="E254" s="156"/>
      <c r="F254" s="158"/>
      <c r="G254" s="156"/>
      <c r="H254" s="156"/>
      <c r="I254" s="601"/>
      <c r="J254" s="146"/>
      <c r="K254" s="601"/>
      <c r="L254" s="995"/>
      <c r="M254" s="995"/>
      <c r="N254" s="995"/>
      <c r="O254" s="995"/>
      <c r="P254" s="146"/>
      <c r="Q254" s="145"/>
      <c r="R254" s="938">
        <f>Facolass.20!K32</f>
        <v>-1747.3843855722225</v>
      </c>
      <c r="S254" s="939"/>
      <c r="T254" s="145"/>
      <c r="U254" s="145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</row>
    <row r="255" spans="3:36" s="49" customFormat="1">
      <c r="C255" s="156"/>
      <c r="D255" s="157"/>
      <c r="E255" s="156"/>
      <c r="F255" s="158"/>
      <c r="G255" s="156"/>
      <c r="H255" s="156"/>
      <c r="I255" s="601"/>
      <c r="J255" s="146"/>
      <c r="K255" s="601"/>
      <c r="L255" s="146"/>
      <c r="M255" s="146"/>
      <c r="N255" s="146"/>
      <c r="O255" s="146"/>
      <c r="P255" s="146"/>
      <c r="Q255" s="145"/>
      <c r="R255" s="938">
        <f>R253-R254</f>
        <v>2772567.3443855722</v>
      </c>
      <c r="S255" s="939"/>
      <c r="T255" s="408">
        <v>-11252.24</v>
      </c>
      <c r="U255" s="145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</row>
    <row r="256" spans="3:36" s="49" customFormat="1">
      <c r="C256" s="156"/>
      <c r="D256" s="157"/>
      <c r="E256" s="156"/>
      <c r="F256" s="158"/>
      <c r="G256" s="156"/>
      <c r="H256" s="156"/>
      <c r="I256" s="601"/>
      <c r="J256" s="146"/>
      <c r="K256" s="601"/>
      <c r="L256" s="146"/>
      <c r="M256" s="146"/>
      <c r="N256" s="146"/>
      <c r="O256" s="146"/>
      <c r="P256" s="146"/>
      <c r="Q256" s="145"/>
      <c r="R256" s="145"/>
      <c r="S256" s="145"/>
      <c r="T256" s="145"/>
      <c r="U256" s="145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</row>
    <row r="257" spans="2:36" s="49" customFormat="1">
      <c r="C257" s="156"/>
      <c r="D257" s="157"/>
      <c r="E257" s="156"/>
      <c r="F257" s="158"/>
      <c r="G257" s="156"/>
      <c r="H257" s="156"/>
      <c r="I257" s="601"/>
      <c r="J257" s="146"/>
      <c r="K257" s="601"/>
      <c r="L257" s="146"/>
      <c r="M257" s="146"/>
      <c r="N257" s="146"/>
      <c r="O257" s="146"/>
      <c r="P257" s="146"/>
      <c r="Q257" s="145"/>
      <c r="R257" s="145"/>
      <c r="S257" s="145"/>
      <c r="T257" s="145"/>
      <c r="U257" s="145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</row>
    <row r="258" spans="2:36" s="49" customFormat="1">
      <c r="C258" s="156"/>
      <c r="D258" s="157"/>
      <c r="E258" s="156"/>
      <c r="F258" s="158"/>
      <c r="G258" s="156"/>
      <c r="H258" s="156"/>
      <c r="I258" s="601"/>
      <c r="J258" s="146"/>
      <c r="K258" s="601"/>
      <c r="L258" s="146"/>
      <c r="M258" s="146"/>
      <c r="N258" s="146"/>
      <c r="O258" s="146"/>
      <c r="P258" s="146"/>
      <c r="Q258" s="145"/>
      <c r="R258" s="145"/>
      <c r="S258" s="145"/>
      <c r="T258" s="145"/>
      <c r="U258" s="145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</row>
    <row r="259" spans="2:36" s="49" customFormat="1">
      <c r="C259" s="156"/>
      <c r="D259" s="157"/>
      <c r="E259" s="156"/>
      <c r="F259" s="158"/>
      <c r="G259" s="156"/>
      <c r="H259" s="156"/>
      <c r="I259" s="601"/>
      <c r="J259" s="146"/>
      <c r="K259" s="601"/>
      <c r="L259" s="146"/>
      <c r="M259" s="146"/>
      <c r="N259" s="146"/>
      <c r="O259" s="146"/>
      <c r="P259" s="146"/>
      <c r="Q259" s="145"/>
      <c r="R259" s="145"/>
      <c r="S259" s="145"/>
      <c r="T259" s="145"/>
      <c r="U259" s="145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</row>
    <row r="260" spans="2:36" s="49" customFormat="1" ht="15" customHeight="1">
      <c r="C260" s="156"/>
      <c r="D260" s="157"/>
      <c r="E260" s="156"/>
      <c r="F260" s="158"/>
      <c r="G260" s="156"/>
      <c r="H260" s="156"/>
      <c r="I260" s="601"/>
      <c r="J260" s="146"/>
      <c r="K260" s="601"/>
      <c r="L260" s="146"/>
      <c r="M260" s="146"/>
      <c r="N260" s="146"/>
      <c r="O260" s="146"/>
      <c r="P260" s="146"/>
      <c r="Q260" s="145"/>
      <c r="R260" s="145"/>
      <c r="S260" s="145"/>
      <c r="T260" s="145"/>
      <c r="U260" s="145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</row>
    <row r="261" spans="2:36" s="49" customFormat="1">
      <c r="C261" s="156"/>
      <c r="D261" s="157"/>
      <c r="E261" s="156"/>
      <c r="F261" s="158"/>
      <c r="G261" s="156"/>
      <c r="H261" s="156"/>
      <c r="I261" s="601"/>
      <c r="J261" s="146"/>
      <c r="K261" s="601"/>
      <c r="L261" s="146"/>
      <c r="M261" s="146"/>
      <c r="N261" s="146"/>
      <c r="O261" s="146"/>
      <c r="P261" s="146"/>
      <c r="Q261" s="145"/>
      <c r="R261" s="145"/>
      <c r="S261" s="145"/>
      <c r="T261" s="145"/>
      <c r="U261" s="145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</row>
    <row r="262" spans="2:36" s="49" customFormat="1">
      <c r="C262" s="156"/>
      <c r="D262" s="157"/>
      <c r="E262" s="156"/>
      <c r="F262" s="158"/>
      <c r="G262" s="156"/>
      <c r="H262" s="156"/>
      <c r="I262" s="601"/>
      <c r="J262" s="146"/>
      <c r="K262" s="601"/>
      <c r="L262" s="146"/>
      <c r="M262" s="146"/>
      <c r="N262" s="146"/>
      <c r="O262" s="146"/>
      <c r="P262" s="146"/>
      <c r="Q262" s="145"/>
      <c r="R262" s="145"/>
      <c r="S262" s="145"/>
      <c r="T262" s="145"/>
      <c r="U262" s="145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</row>
    <row r="263" spans="2:36" s="49" customFormat="1">
      <c r="C263" s="156"/>
      <c r="D263" s="157"/>
      <c r="E263" s="156"/>
      <c r="F263" s="158"/>
      <c r="G263" s="156"/>
      <c r="H263" s="156"/>
      <c r="I263" s="601"/>
      <c r="J263" s="146"/>
      <c r="K263" s="601"/>
      <c r="L263" s="146"/>
      <c r="M263" s="146"/>
      <c r="N263" s="146"/>
      <c r="O263" s="146"/>
      <c r="P263" s="146"/>
      <c r="Q263" s="145"/>
      <c r="R263" s="145"/>
      <c r="S263" s="145"/>
      <c r="T263" s="145"/>
      <c r="U263" s="145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</row>
    <row r="264" spans="2:36" s="49" customFormat="1">
      <c r="C264" s="156"/>
      <c r="D264" s="157"/>
      <c r="E264" s="156"/>
      <c r="F264" s="158"/>
      <c r="G264" s="156"/>
      <c r="H264" s="156"/>
      <c r="I264" s="601"/>
      <c r="J264" s="146"/>
      <c r="K264" s="601"/>
      <c r="L264" s="146"/>
      <c r="M264" s="146"/>
      <c r="N264" s="146"/>
      <c r="O264" s="146"/>
      <c r="P264" s="146"/>
      <c r="Q264" s="145"/>
      <c r="R264" s="145"/>
      <c r="S264" s="145"/>
      <c r="T264" s="145"/>
      <c r="U264" s="145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</row>
    <row r="265" spans="2:36">
      <c r="B265" s="156"/>
      <c r="P265" s="146" t="s">
        <v>206</v>
      </c>
    </row>
  </sheetData>
  <autoFilter ref="G1:G265"/>
  <mergeCells count="99">
    <mergeCell ref="A7:A14"/>
    <mergeCell ref="A100:A101"/>
    <mergeCell ref="A132:A141"/>
    <mergeCell ref="A151:A158"/>
    <mergeCell ref="C241:F241"/>
    <mergeCell ref="C240:F240"/>
    <mergeCell ref="A219:G219"/>
    <mergeCell ref="G240:H240"/>
    <mergeCell ref="L254:O254"/>
    <mergeCell ref="R254:S254"/>
    <mergeCell ref="R255:S255"/>
    <mergeCell ref="C251:D251"/>
    <mergeCell ref="G251:H251"/>
    <mergeCell ref="L251:O251"/>
    <mergeCell ref="R251:S251"/>
    <mergeCell ref="C253:D253"/>
    <mergeCell ref="G253:H253"/>
    <mergeCell ref="L253:O253"/>
    <mergeCell ref="R253:S253"/>
    <mergeCell ref="L247:O247"/>
    <mergeCell ref="R247:S247"/>
    <mergeCell ref="C250:F250"/>
    <mergeCell ref="G250:H250"/>
    <mergeCell ref="L250:O250"/>
    <mergeCell ref="R250:S250"/>
    <mergeCell ref="C244:F244"/>
    <mergeCell ref="G244:H244"/>
    <mergeCell ref="L244:O244"/>
    <mergeCell ref="R244:S244"/>
    <mergeCell ref="G245:H245"/>
    <mergeCell ref="L245:O245"/>
    <mergeCell ref="R245:S245"/>
    <mergeCell ref="L240:O240"/>
    <mergeCell ref="R240:S240"/>
    <mergeCell ref="B225:G225"/>
    <mergeCell ref="C235:J235"/>
    <mergeCell ref="C236:J236"/>
    <mergeCell ref="C237:F237"/>
    <mergeCell ref="G237:H237"/>
    <mergeCell ref="L237:O237"/>
    <mergeCell ref="R237:S237"/>
    <mergeCell ref="C238:F238"/>
    <mergeCell ref="G238:H238"/>
    <mergeCell ref="L238:O238"/>
    <mergeCell ref="R238:S238"/>
    <mergeCell ref="AI3:AI5"/>
    <mergeCell ref="AJ3:AJ5"/>
    <mergeCell ref="A70:A71"/>
    <mergeCell ref="A218:C218"/>
    <mergeCell ref="AE3:AE5"/>
    <mergeCell ref="AF3:AF5"/>
    <mergeCell ref="AH1:AH5"/>
    <mergeCell ref="AI1:AJ2"/>
    <mergeCell ref="F2:F5"/>
    <mergeCell ref="G2:G5"/>
    <mergeCell ref="H2:H5"/>
    <mergeCell ref="I2:I5"/>
    <mergeCell ref="J2:J5"/>
    <mergeCell ref="K2:K5"/>
    <mergeCell ref="L2:L5"/>
    <mergeCell ref="B1:B5"/>
    <mergeCell ref="E2:E5"/>
    <mergeCell ref="C1:C5"/>
    <mergeCell ref="D1:D5"/>
    <mergeCell ref="E1:G1"/>
    <mergeCell ref="J1:T1"/>
    <mergeCell ref="Q2:Q5"/>
    <mergeCell ref="R2:R5"/>
    <mergeCell ref="S2:S5"/>
    <mergeCell ref="T2:T5"/>
    <mergeCell ref="V1:AG1"/>
    <mergeCell ref="M2:M5"/>
    <mergeCell ref="N2:N5"/>
    <mergeCell ref="O2:O5"/>
    <mergeCell ref="P2:P5"/>
    <mergeCell ref="AG3:AG5"/>
    <mergeCell ref="AA3:AA5"/>
    <mergeCell ref="AB3:AB5"/>
    <mergeCell ref="AC3:AC5"/>
    <mergeCell ref="AD3:AD5"/>
    <mergeCell ref="V2:Z2"/>
    <mergeCell ref="V3:V5"/>
    <mergeCell ref="W3:W5"/>
    <mergeCell ref="X3:X5"/>
    <mergeCell ref="Y3:Y5"/>
    <mergeCell ref="Z3:Z5"/>
    <mergeCell ref="G242:H242"/>
    <mergeCell ref="G241:H241"/>
    <mergeCell ref="G248:H248"/>
    <mergeCell ref="G243:H243"/>
    <mergeCell ref="G246:H246"/>
    <mergeCell ref="G247:H247"/>
    <mergeCell ref="AB237:AC237"/>
    <mergeCell ref="AB236:AC236"/>
    <mergeCell ref="AB235:AC235"/>
    <mergeCell ref="A117:A126"/>
    <mergeCell ref="A203:A207"/>
    <mergeCell ref="A168:A176"/>
    <mergeCell ref="A187:A193"/>
  </mergeCells>
  <phoneticPr fontId="34" type="noConversion"/>
  <conditionalFormatting sqref="G241">
    <cfRule type="expression" dxfId="2" priority="1" stopIfTrue="1">
      <formula>ISBLANK(G241)</formula>
    </cfRule>
  </conditionalFormatting>
  <printOptions horizontalCentered="1" verticalCentered="1" gridLinesSet="0"/>
  <pageMargins left="0.19685039370078741" right="0.43307086614173229" top="0.74803149606299213" bottom="0.51181102362204722" header="0.43307086614173229" footer="0.27559055118110237"/>
  <pageSetup paperSize="8" scale="86" orientation="landscape" r:id="rId1"/>
  <headerFooter alignWithMargins="0">
    <oddHeader>Pagina &amp;P&amp;DCopia di ARIO PIANO OCCUPAZIONALECopia di FILE PER PIANO ASSUNZIONALE 2018-2020-2.xlsx</oddHeader>
    <oddFooter>&amp;L&amp;N&amp;P&amp;R&amp;Z&amp;F&amp;A</oddFooter>
  </headerFooter>
  <rowBreaks count="4" manualBreakCount="4">
    <brk id="64" max="35" man="1"/>
    <brk id="109" max="35" man="1"/>
    <brk id="159" max="35" man="1"/>
    <brk id="225" max="35" man="1"/>
  </rowBreaks>
  <colBreaks count="1" manualBreakCount="1">
    <brk id="21" max="24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40"/>
  <sheetViews>
    <sheetView showGridLines="0" tabSelected="1" topLeftCell="A46" zoomScale="90" zoomScaleNormal="90" workbookViewId="0">
      <selection activeCell="D51" sqref="D51"/>
    </sheetView>
  </sheetViews>
  <sheetFormatPr defaultColWidth="9.140625" defaultRowHeight="12.75"/>
  <cols>
    <col min="1" max="1" width="6.140625" style="466" customWidth="1"/>
    <col min="2" max="2" width="97.28515625" style="426" customWidth="1"/>
    <col min="3" max="3" width="10.5703125" style="466" customWidth="1"/>
    <col min="4" max="4" width="34.7109375" style="466" customWidth="1"/>
    <col min="5" max="5" width="17.28515625" style="426" customWidth="1"/>
    <col min="6" max="6" width="19.85546875" style="426" customWidth="1"/>
    <col min="7" max="7" width="18.7109375" style="426" customWidth="1"/>
    <col min="8" max="8" width="12.5703125" style="426" customWidth="1"/>
    <col min="9" max="249" width="9.140625" style="426"/>
    <col min="250" max="250" width="6.140625" style="426" customWidth="1"/>
    <col min="251" max="251" width="97.28515625" style="426" customWidth="1"/>
    <col min="252" max="252" width="10.5703125" style="426" customWidth="1"/>
    <col min="253" max="253" width="34.7109375" style="426" customWidth="1"/>
    <col min="254" max="254" width="0" style="426" hidden="1" customWidth="1"/>
    <col min="255" max="255" width="25.140625" style="426" customWidth="1"/>
    <col min="256" max="260" width="0" style="426" hidden="1" customWidth="1"/>
    <col min="261" max="505" width="9.140625" style="426"/>
    <col min="506" max="506" width="6.140625" style="426" customWidth="1"/>
    <col min="507" max="507" width="97.28515625" style="426" customWidth="1"/>
    <col min="508" max="508" width="10.5703125" style="426" customWidth="1"/>
    <col min="509" max="509" width="34.7109375" style="426" customWidth="1"/>
    <col min="510" max="510" width="0" style="426" hidden="1" customWidth="1"/>
    <col min="511" max="511" width="25.140625" style="426" customWidth="1"/>
    <col min="512" max="516" width="0" style="426" hidden="1" customWidth="1"/>
    <col min="517" max="761" width="9.140625" style="426"/>
    <col min="762" max="762" width="6.140625" style="426" customWidth="1"/>
    <col min="763" max="763" width="97.28515625" style="426" customWidth="1"/>
    <col min="764" max="764" width="10.5703125" style="426" customWidth="1"/>
    <col min="765" max="765" width="34.7109375" style="426" customWidth="1"/>
    <col min="766" max="766" width="0" style="426" hidden="1" customWidth="1"/>
    <col min="767" max="767" width="25.140625" style="426" customWidth="1"/>
    <col min="768" max="772" width="0" style="426" hidden="1" customWidth="1"/>
    <col min="773" max="1017" width="9.140625" style="426"/>
    <col min="1018" max="1018" width="6.140625" style="426" customWidth="1"/>
    <col min="1019" max="1019" width="97.28515625" style="426" customWidth="1"/>
    <col min="1020" max="1020" width="10.5703125" style="426" customWidth="1"/>
    <col min="1021" max="1021" width="34.7109375" style="426" customWidth="1"/>
    <col min="1022" max="1022" width="0" style="426" hidden="1" customWidth="1"/>
    <col min="1023" max="1023" width="25.140625" style="426" customWidth="1"/>
    <col min="1024" max="1028" width="0" style="426" hidden="1" customWidth="1"/>
    <col min="1029" max="1273" width="9.140625" style="426"/>
    <col min="1274" max="1274" width="6.140625" style="426" customWidth="1"/>
    <col min="1275" max="1275" width="97.28515625" style="426" customWidth="1"/>
    <col min="1276" max="1276" width="10.5703125" style="426" customWidth="1"/>
    <col min="1277" max="1277" width="34.7109375" style="426" customWidth="1"/>
    <col min="1278" max="1278" width="0" style="426" hidden="1" customWidth="1"/>
    <col min="1279" max="1279" width="25.140625" style="426" customWidth="1"/>
    <col min="1280" max="1284" width="0" style="426" hidden="1" customWidth="1"/>
    <col min="1285" max="1529" width="9.140625" style="426"/>
    <col min="1530" max="1530" width="6.140625" style="426" customWidth="1"/>
    <col min="1531" max="1531" width="97.28515625" style="426" customWidth="1"/>
    <col min="1532" max="1532" width="10.5703125" style="426" customWidth="1"/>
    <col min="1533" max="1533" width="34.7109375" style="426" customWidth="1"/>
    <col min="1534" max="1534" width="0" style="426" hidden="1" customWidth="1"/>
    <col min="1535" max="1535" width="25.140625" style="426" customWidth="1"/>
    <col min="1536" max="1540" width="0" style="426" hidden="1" customWidth="1"/>
    <col min="1541" max="1785" width="9.140625" style="426"/>
    <col min="1786" max="1786" width="6.140625" style="426" customWidth="1"/>
    <col min="1787" max="1787" width="97.28515625" style="426" customWidth="1"/>
    <col min="1788" max="1788" width="10.5703125" style="426" customWidth="1"/>
    <col min="1789" max="1789" width="34.7109375" style="426" customWidth="1"/>
    <col min="1790" max="1790" width="0" style="426" hidden="1" customWidth="1"/>
    <col min="1791" max="1791" width="25.140625" style="426" customWidth="1"/>
    <col min="1792" max="1796" width="0" style="426" hidden="1" customWidth="1"/>
    <col min="1797" max="2041" width="9.140625" style="426"/>
    <col min="2042" max="2042" width="6.140625" style="426" customWidth="1"/>
    <col min="2043" max="2043" width="97.28515625" style="426" customWidth="1"/>
    <col min="2044" max="2044" width="10.5703125" style="426" customWidth="1"/>
    <col min="2045" max="2045" width="34.7109375" style="426" customWidth="1"/>
    <col min="2046" max="2046" width="0" style="426" hidden="1" customWidth="1"/>
    <col min="2047" max="2047" width="25.140625" style="426" customWidth="1"/>
    <col min="2048" max="2052" width="0" style="426" hidden="1" customWidth="1"/>
    <col min="2053" max="2297" width="9.140625" style="426"/>
    <col min="2298" max="2298" width="6.140625" style="426" customWidth="1"/>
    <col min="2299" max="2299" width="97.28515625" style="426" customWidth="1"/>
    <col min="2300" max="2300" width="10.5703125" style="426" customWidth="1"/>
    <col min="2301" max="2301" width="34.7109375" style="426" customWidth="1"/>
    <col min="2302" max="2302" width="0" style="426" hidden="1" customWidth="1"/>
    <col min="2303" max="2303" width="25.140625" style="426" customWidth="1"/>
    <col min="2304" max="2308" width="0" style="426" hidden="1" customWidth="1"/>
    <col min="2309" max="2553" width="9.140625" style="426"/>
    <col min="2554" max="2554" width="6.140625" style="426" customWidth="1"/>
    <col min="2555" max="2555" width="97.28515625" style="426" customWidth="1"/>
    <col min="2556" max="2556" width="10.5703125" style="426" customWidth="1"/>
    <col min="2557" max="2557" width="34.7109375" style="426" customWidth="1"/>
    <col min="2558" max="2558" width="0" style="426" hidden="1" customWidth="1"/>
    <col min="2559" max="2559" width="25.140625" style="426" customWidth="1"/>
    <col min="2560" max="2564" width="0" style="426" hidden="1" customWidth="1"/>
    <col min="2565" max="2809" width="9.140625" style="426"/>
    <col min="2810" max="2810" width="6.140625" style="426" customWidth="1"/>
    <col min="2811" max="2811" width="97.28515625" style="426" customWidth="1"/>
    <col min="2812" max="2812" width="10.5703125" style="426" customWidth="1"/>
    <col min="2813" max="2813" width="34.7109375" style="426" customWidth="1"/>
    <col min="2814" max="2814" width="0" style="426" hidden="1" customWidth="1"/>
    <col min="2815" max="2815" width="25.140625" style="426" customWidth="1"/>
    <col min="2816" max="2820" width="0" style="426" hidden="1" customWidth="1"/>
    <col min="2821" max="3065" width="9.140625" style="426"/>
    <col min="3066" max="3066" width="6.140625" style="426" customWidth="1"/>
    <col min="3067" max="3067" width="97.28515625" style="426" customWidth="1"/>
    <col min="3068" max="3068" width="10.5703125" style="426" customWidth="1"/>
    <col min="3069" max="3069" width="34.7109375" style="426" customWidth="1"/>
    <col min="3070" max="3070" width="0" style="426" hidden="1" customWidth="1"/>
    <col min="3071" max="3071" width="25.140625" style="426" customWidth="1"/>
    <col min="3072" max="3076" width="0" style="426" hidden="1" customWidth="1"/>
    <col min="3077" max="3321" width="9.140625" style="426"/>
    <col min="3322" max="3322" width="6.140625" style="426" customWidth="1"/>
    <col min="3323" max="3323" width="97.28515625" style="426" customWidth="1"/>
    <col min="3324" max="3324" width="10.5703125" style="426" customWidth="1"/>
    <col min="3325" max="3325" width="34.7109375" style="426" customWidth="1"/>
    <col min="3326" max="3326" width="0" style="426" hidden="1" customWidth="1"/>
    <col min="3327" max="3327" width="25.140625" style="426" customWidth="1"/>
    <col min="3328" max="3332" width="0" style="426" hidden="1" customWidth="1"/>
    <col min="3333" max="3577" width="9.140625" style="426"/>
    <col min="3578" max="3578" width="6.140625" style="426" customWidth="1"/>
    <col min="3579" max="3579" width="97.28515625" style="426" customWidth="1"/>
    <col min="3580" max="3580" width="10.5703125" style="426" customWidth="1"/>
    <col min="3581" max="3581" width="34.7109375" style="426" customWidth="1"/>
    <col min="3582" max="3582" width="0" style="426" hidden="1" customWidth="1"/>
    <col min="3583" max="3583" width="25.140625" style="426" customWidth="1"/>
    <col min="3584" max="3588" width="0" style="426" hidden="1" customWidth="1"/>
    <col min="3589" max="3833" width="9.140625" style="426"/>
    <col min="3834" max="3834" width="6.140625" style="426" customWidth="1"/>
    <col min="3835" max="3835" width="97.28515625" style="426" customWidth="1"/>
    <col min="3836" max="3836" width="10.5703125" style="426" customWidth="1"/>
    <col min="3837" max="3837" width="34.7109375" style="426" customWidth="1"/>
    <col min="3838" max="3838" width="0" style="426" hidden="1" customWidth="1"/>
    <col min="3839" max="3839" width="25.140625" style="426" customWidth="1"/>
    <col min="3840" max="3844" width="0" style="426" hidden="1" customWidth="1"/>
    <col min="3845" max="4089" width="9.140625" style="426"/>
    <col min="4090" max="4090" width="6.140625" style="426" customWidth="1"/>
    <col min="4091" max="4091" width="97.28515625" style="426" customWidth="1"/>
    <col min="4092" max="4092" width="10.5703125" style="426" customWidth="1"/>
    <col min="4093" max="4093" width="34.7109375" style="426" customWidth="1"/>
    <col min="4094" max="4094" width="0" style="426" hidden="1" customWidth="1"/>
    <col min="4095" max="4095" width="25.140625" style="426" customWidth="1"/>
    <col min="4096" max="4100" width="0" style="426" hidden="1" customWidth="1"/>
    <col min="4101" max="4345" width="9.140625" style="426"/>
    <col min="4346" max="4346" width="6.140625" style="426" customWidth="1"/>
    <col min="4347" max="4347" width="97.28515625" style="426" customWidth="1"/>
    <col min="4348" max="4348" width="10.5703125" style="426" customWidth="1"/>
    <col min="4349" max="4349" width="34.7109375" style="426" customWidth="1"/>
    <col min="4350" max="4350" width="0" style="426" hidden="1" customWidth="1"/>
    <col min="4351" max="4351" width="25.140625" style="426" customWidth="1"/>
    <col min="4352" max="4356" width="0" style="426" hidden="1" customWidth="1"/>
    <col min="4357" max="4601" width="9.140625" style="426"/>
    <col min="4602" max="4602" width="6.140625" style="426" customWidth="1"/>
    <col min="4603" max="4603" width="97.28515625" style="426" customWidth="1"/>
    <col min="4604" max="4604" width="10.5703125" style="426" customWidth="1"/>
    <col min="4605" max="4605" width="34.7109375" style="426" customWidth="1"/>
    <col min="4606" max="4606" width="0" style="426" hidden="1" customWidth="1"/>
    <col min="4607" max="4607" width="25.140625" style="426" customWidth="1"/>
    <col min="4608" max="4612" width="0" style="426" hidden="1" customWidth="1"/>
    <col min="4613" max="4857" width="9.140625" style="426"/>
    <col min="4858" max="4858" width="6.140625" style="426" customWidth="1"/>
    <col min="4859" max="4859" width="97.28515625" style="426" customWidth="1"/>
    <col min="4860" max="4860" width="10.5703125" style="426" customWidth="1"/>
    <col min="4861" max="4861" width="34.7109375" style="426" customWidth="1"/>
    <col min="4862" max="4862" width="0" style="426" hidden="1" customWidth="1"/>
    <col min="4863" max="4863" width="25.140625" style="426" customWidth="1"/>
    <col min="4864" max="4868" width="0" style="426" hidden="1" customWidth="1"/>
    <col min="4869" max="5113" width="9.140625" style="426"/>
    <col min="5114" max="5114" width="6.140625" style="426" customWidth="1"/>
    <col min="5115" max="5115" width="97.28515625" style="426" customWidth="1"/>
    <col min="5116" max="5116" width="10.5703125" style="426" customWidth="1"/>
    <col min="5117" max="5117" width="34.7109375" style="426" customWidth="1"/>
    <col min="5118" max="5118" width="0" style="426" hidden="1" customWidth="1"/>
    <col min="5119" max="5119" width="25.140625" style="426" customWidth="1"/>
    <col min="5120" max="5124" width="0" style="426" hidden="1" customWidth="1"/>
    <col min="5125" max="5369" width="9.140625" style="426"/>
    <col min="5370" max="5370" width="6.140625" style="426" customWidth="1"/>
    <col min="5371" max="5371" width="97.28515625" style="426" customWidth="1"/>
    <col min="5372" max="5372" width="10.5703125" style="426" customWidth="1"/>
    <col min="5373" max="5373" width="34.7109375" style="426" customWidth="1"/>
    <col min="5374" max="5374" width="0" style="426" hidden="1" customWidth="1"/>
    <col min="5375" max="5375" width="25.140625" style="426" customWidth="1"/>
    <col min="5376" max="5380" width="0" style="426" hidden="1" customWidth="1"/>
    <col min="5381" max="5625" width="9.140625" style="426"/>
    <col min="5626" max="5626" width="6.140625" style="426" customWidth="1"/>
    <col min="5627" max="5627" width="97.28515625" style="426" customWidth="1"/>
    <col min="5628" max="5628" width="10.5703125" style="426" customWidth="1"/>
    <col min="5629" max="5629" width="34.7109375" style="426" customWidth="1"/>
    <col min="5630" max="5630" width="0" style="426" hidden="1" customWidth="1"/>
    <col min="5631" max="5631" width="25.140625" style="426" customWidth="1"/>
    <col min="5632" max="5636" width="0" style="426" hidden="1" customWidth="1"/>
    <col min="5637" max="5881" width="9.140625" style="426"/>
    <col min="5882" max="5882" width="6.140625" style="426" customWidth="1"/>
    <col min="5883" max="5883" width="97.28515625" style="426" customWidth="1"/>
    <col min="5884" max="5884" width="10.5703125" style="426" customWidth="1"/>
    <col min="5885" max="5885" width="34.7109375" style="426" customWidth="1"/>
    <col min="5886" max="5886" width="0" style="426" hidden="1" customWidth="1"/>
    <col min="5887" max="5887" width="25.140625" style="426" customWidth="1"/>
    <col min="5888" max="5892" width="0" style="426" hidden="1" customWidth="1"/>
    <col min="5893" max="6137" width="9.140625" style="426"/>
    <col min="6138" max="6138" width="6.140625" style="426" customWidth="1"/>
    <col min="6139" max="6139" width="97.28515625" style="426" customWidth="1"/>
    <col min="6140" max="6140" width="10.5703125" style="426" customWidth="1"/>
    <col min="6141" max="6141" width="34.7109375" style="426" customWidth="1"/>
    <col min="6142" max="6142" width="0" style="426" hidden="1" customWidth="1"/>
    <col min="6143" max="6143" width="25.140625" style="426" customWidth="1"/>
    <col min="6144" max="6148" width="0" style="426" hidden="1" customWidth="1"/>
    <col min="6149" max="6393" width="9.140625" style="426"/>
    <col min="6394" max="6394" width="6.140625" style="426" customWidth="1"/>
    <col min="6395" max="6395" width="97.28515625" style="426" customWidth="1"/>
    <col min="6396" max="6396" width="10.5703125" style="426" customWidth="1"/>
    <col min="6397" max="6397" width="34.7109375" style="426" customWidth="1"/>
    <col min="6398" max="6398" width="0" style="426" hidden="1" customWidth="1"/>
    <col min="6399" max="6399" width="25.140625" style="426" customWidth="1"/>
    <col min="6400" max="6404" width="0" style="426" hidden="1" customWidth="1"/>
    <col min="6405" max="6649" width="9.140625" style="426"/>
    <col min="6650" max="6650" width="6.140625" style="426" customWidth="1"/>
    <col min="6651" max="6651" width="97.28515625" style="426" customWidth="1"/>
    <col min="6652" max="6652" width="10.5703125" style="426" customWidth="1"/>
    <col min="6653" max="6653" width="34.7109375" style="426" customWidth="1"/>
    <col min="6654" max="6654" width="0" style="426" hidden="1" customWidth="1"/>
    <col min="6655" max="6655" width="25.140625" style="426" customWidth="1"/>
    <col min="6656" max="6660" width="0" style="426" hidden="1" customWidth="1"/>
    <col min="6661" max="6905" width="9.140625" style="426"/>
    <col min="6906" max="6906" width="6.140625" style="426" customWidth="1"/>
    <col min="6907" max="6907" width="97.28515625" style="426" customWidth="1"/>
    <col min="6908" max="6908" width="10.5703125" style="426" customWidth="1"/>
    <col min="6909" max="6909" width="34.7109375" style="426" customWidth="1"/>
    <col min="6910" max="6910" width="0" style="426" hidden="1" customWidth="1"/>
    <col min="6911" max="6911" width="25.140625" style="426" customWidth="1"/>
    <col min="6912" max="6916" width="0" style="426" hidden="1" customWidth="1"/>
    <col min="6917" max="7161" width="9.140625" style="426"/>
    <col min="7162" max="7162" width="6.140625" style="426" customWidth="1"/>
    <col min="7163" max="7163" width="97.28515625" style="426" customWidth="1"/>
    <col min="7164" max="7164" width="10.5703125" style="426" customWidth="1"/>
    <col min="7165" max="7165" width="34.7109375" style="426" customWidth="1"/>
    <col min="7166" max="7166" width="0" style="426" hidden="1" customWidth="1"/>
    <col min="7167" max="7167" width="25.140625" style="426" customWidth="1"/>
    <col min="7168" max="7172" width="0" style="426" hidden="1" customWidth="1"/>
    <col min="7173" max="7417" width="9.140625" style="426"/>
    <col min="7418" max="7418" width="6.140625" style="426" customWidth="1"/>
    <col min="7419" max="7419" width="97.28515625" style="426" customWidth="1"/>
    <col min="7420" max="7420" width="10.5703125" style="426" customWidth="1"/>
    <col min="7421" max="7421" width="34.7109375" style="426" customWidth="1"/>
    <col min="7422" max="7422" width="0" style="426" hidden="1" customWidth="1"/>
    <col min="7423" max="7423" width="25.140625" style="426" customWidth="1"/>
    <col min="7424" max="7428" width="0" style="426" hidden="1" customWidth="1"/>
    <col min="7429" max="7673" width="9.140625" style="426"/>
    <col min="7674" max="7674" width="6.140625" style="426" customWidth="1"/>
    <col min="7675" max="7675" width="97.28515625" style="426" customWidth="1"/>
    <col min="7676" max="7676" width="10.5703125" style="426" customWidth="1"/>
    <col min="7677" max="7677" width="34.7109375" style="426" customWidth="1"/>
    <col min="7678" max="7678" width="0" style="426" hidden="1" customWidth="1"/>
    <col min="7679" max="7679" width="25.140625" style="426" customWidth="1"/>
    <col min="7680" max="7684" width="0" style="426" hidden="1" customWidth="1"/>
    <col min="7685" max="7929" width="9.140625" style="426"/>
    <col min="7930" max="7930" width="6.140625" style="426" customWidth="1"/>
    <col min="7931" max="7931" width="97.28515625" style="426" customWidth="1"/>
    <col min="7932" max="7932" width="10.5703125" style="426" customWidth="1"/>
    <col min="7933" max="7933" width="34.7109375" style="426" customWidth="1"/>
    <col min="7934" max="7934" width="0" style="426" hidden="1" customWidth="1"/>
    <col min="7935" max="7935" width="25.140625" style="426" customWidth="1"/>
    <col min="7936" max="7940" width="0" style="426" hidden="1" customWidth="1"/>
    <col min="7941" max="8185" width="9.140625" style="426"/>
    <col min="8186" max="8186" width="6.140625" style="426" customWidth="1"/>
    <col min="8187" max="8187" width="97.28515625" style="426" customWidth="1"/>
    <col min="8188" max="8188" width="10.5703125" style="426" customWidth="1"/>
    <col min="8189" max="8189" width="34.7109375" style="426" customWidth="1"/>
    <col min="8190" max="8190" width="0" style="426" hidden="1" customWidth="1"/>
    <col min="8191" max="8191" width="25.140625" style="426" customWidth="1"/>
    <col min="8192" max="8196" width="0" style="426" hidden="1" customWidth="1"/>
    <col min="8197" max="8441" width="9.140625" style="426"/>
    <col min="8442" max="8442" width="6.140625" style="426" customWidth="1"/>
    <col min="8443" max="8443" width="97.28515625" style="426" customWidth="1"/>
    <col min="8444" max="8444" width="10.5703125" style="426" customWidth="1"/>
    <col min="8445" max="8445" width="34.7109375" style="426" customWidth="1"/>
    <col min="8446" max="8446" width="0" style="426" hidden="1" customWidth="1"/>
    <col min="8447" max="8447" width="25.140625" style="426" customWidth="1"/>
    <col min="8448" max="8452" width="0" style="426" hidden="1" customWidth="1"/>
    <col min="8453" max="8697" width="9.140625" style="426"/>
    <col min="8698" max="8698" width="6.140625" style="426" customWidth="1"/>
    <col min="8699" max="8699" width="97.28515625" style="426" customWidth="1"/>
    <col min="8700" max="8700" width="10.5703125" style="426" customWidth="1"/>
    <col min="8701" max="8701" width="34.7109375" style="426" customWidth="1"/>
    <col min="8702" max="8702" width="0" style="426" hidden="1" customWidth="1"/>
    <col min="8703" max="8703" width="25.140625" style="426" customWidth="1"/>
    <col min="8704" max="8708" width="0" style="426" hidden="1" customWidth="1"/>
    <col min="8709" max="8953" width="9.140625" style="426"/>
    <col min="8954" max="8954" width="6.140625" style="426" customWidth="1"/>
    <col min="8955" max="8955" width="97.28515625" style="426" customWidth="1"/>
    <col min="8956" max="8956" width="10.5703125" style="426" customWidth="1"/>
    <col min="8957" max="8957" width="34.7109375" style="426" customWidth="1"/>
    <col min="8958" max="8958" width="0" style="426" hidden="1" customWidth="1"/>
    <col min="8959" max="8959" width="25.140625" style="426" customWidth="1"/>
    <col min="8960" max="8964" width="0" style="426" hidden="1" customWidth="1"/>
    <col min="8965" max="9209" width="9.140625" style="426"/>
    <col min="9210" max="9210" width="6.140625" style="426" customWidth="1"/>
    <col min="9211" max="9211" width="97.28515625" style="426" customWidth="1"/>
    <col min="9212" max="9212" width="10.5703125" style="426" customWidth="1"/>
    <col min="9213" max="9213" width="34.7109375" style="426" customWidth="1"/>
    <col min="9214" max="9214" width="0" style="426" hidden="1" customWidth="1"/>
    <col min="9215" max="9215" width="25.140625" style="426" customWidth="1"/>
    <col min="9216" max="9220" width="0" style="426" hidden="1" customWidth="1"/>
    <col min="9221" max="9465" width="9.140625" style="426"/>
    <col min="9466" max="9466" width="6.140625" style="426" customWidth="1"/>
    <col min="9467" max="9467" width="97.28515625" style="426" customWidth="1"/>
    <col min="9468" max="9468" width="10.5703125" style="426" customWidth="1"/>
    <col min="9469" max="9469" width="34.7109375" style="426" customWidth="1"/>
    <col min="9470" max="9470" width="0" style="426" hidden="1" customWidth="1"/>
    <col min="9471" max="9471" width="25.140625" style="426" customWidth="1"/>
    <col min="9472" max="9476" width="0" style="426" hidden="1" customWidth="1"/>
    <col min="9477" max="9721" width="9.140625" style="426"/>
    <col min="9722" max="9722" width="6.140625" style="426" customWidth="1"/>
    <col min="9723" max="9723" width="97.28515625" style="426" customWidth="1"/>
    <col min="9724" max="9724" width="10.5703125" style="426" customWidth="1"/>
    <col min="9725" max="9725" width="34.7109375" style="426" customWidth="1"/>
    <col min="9726" max="9726" width="0" style="426" hidden="1" customWidth="1"/>
    <col min="9727" max="9727" width="25.140625" style="426" customWidth="1"/>
    <col min="9728" max="9732" width="0" style="426" hidden="1" customWidth="1"/>
    <col min="9733" max="9977" width="9.140625" style="426"/>
    <col min="9978" max="9978" width="6.140625" style="426" customWidth="1"/>
    <col min="9979" max="9979" width="97.28515625" style="426" customWidth="1"/>
    <col min="9980" max="9980" width="10.5703125" style="426" customWidth="1"/>
    <col min="9981" max="9981" width="34.7109375" style="426" customWidth="1"/>
    <col min="9982" max="9982" width="0" style="426" hidden="1" customWidth="1"/>
    <col min="9983" max="9983" width="25.140625" style="426" customWidth="1"/>
    <col min="9984" max="9988" width="0" style="426" hidden="1" customWidth="1"/>
    <col min="9989" max="10233" width="9.140625" style="426"/>
    <col min="10234" max="10234" width="6.140625" style="426" customWidth="1"/>
    <col min="10235" max="10235" width="97.28515625" style="426" customWidth="1"/>
    <col min="10236" max="10236" width="10.5703125" style="426" customWidth="1"/>
    <col min="10237" max="10237" width="34.7109375" style="426" customWidth="1"/>
    <col min="10238" max="10238" width="0" style="426" hidden="1" customWidth="1"/>
    <col min="10239" max="10239" width="25.140625" style="426" customWidth="1"/>
    <col min="10240" max="10244" width="0" style="426" hidden="1" customWidth="1"/>
    <col min="10245" max="10489" width="9.140625" style="426"/>
    <col min="10490" max="10490" width="6.140625" style="426" customWidth="1"/>
    <col min="10491" max="10491" width="97.28515625" style="426" customWidth="1"/>
    <col min="10492" max="10492" width="10.5703125" style="426" customWidth="1"/>
    <col min="10493" max="10493" width="34.7109375" style="426" customWidth="1"/>
    <col min="10494" max="10494" width="0" style="426" hidden="1" customWidth="1"/>
    <col min="10495" max="10495" width="25.140625" style="426" customWidth="1"/>
    <col min="10496" max="10500" width="0" style="426" hidden="1" customWidth="1"/>
    <col min="10501" max="10745" width="9.140625" style="426"/>
    <col min="10746" max="10746" width="6.140625" style="426" customWidth="1"/>
    <col min="10747" max="10747" width="97.28515625" style="426" customWidth="1"/>
    <col min="10748" max="10748" width="10.5703125" style="426" customWidth="1"/>
    <col min="10749" max="10749" width="34.7109375" style="426" customWidth="1"/>
    <col min="10750" max="10750" width="0" style="426" hidden="1" customWidth="1"/>
    <col min="10751" max="10751" width="25.140625" style="426" customWidth="1"/>
    <col min="10752" max="10756" width="0" style="426" hidden="1" customWidth="1"/>
    <col min="10757" max="11001" width="9.140625" style="426"/>
    <col min="11002" max="11002" width="6.140625" style="426" customWidth="1"/>
    <col min="11003" max="11003" width="97.28515625" style="426" customWidth="1"/>
    <col min="11004" max="11004" width="10.5703125" style="426" customWidth="1"/>
    <col min="11005" max="11005" width="34.7109375" style="426" customWidth="1"/>
    <col min="11006" max="11006" width="0" style="426" hidden="1" customWidth="1"/>
    <col min="11007" max="11007" width="25.140625" style="426" customWidth="1"/>
    <col min="11008" max="11012" width="0" style="426" hidden="1" customWidth="1"/>
    <col min="11013" max="11257" width="9.140625" style="426"/>
    <col min="11258" max="11258" width="6.140625" style="426" customWidth="1"/>
    <col min="11259" max="11259" width="97.28515625" style="426" customWidth="1"/>
    <col min="11260" max="11260" width="10.5703125" style="426" customWidth="1"/>
    <col min="11261" max="11261" width="34.7109375" style="426" customWidth="1"/>
    <col min="11262" max="11262" width="0" style="426" hidden="1" customWidth="1"/>
    <col min="11263" max="11263" width="25.140625" style="426" customWidth="1"/>
    <col min="11264" max="11268" width="0" style="426" hidden="1" customWidth="1"/>
    <col min="11269" max="11513" width="9.140625" style="426"/>
    <col min="11514" max="11514" width="6.140625" style="426" customWidth="1"/>
    <col min="11515" max="11515" width="97.28515625" style="426" customWidth="1"/>
    <col min="11516" max="11516" width="10.5703125" style="426" customWidth="1"/>
    <col min="11517" max="11517" width="34.7109375" style="426" customWidth="1"/>
    <col min="11518" max="11518" width="0" style="426" hidden="1" customWidth="1"/>
    <col min="11519" max="11519" width="25.140625" style="426" customWidth="1"/>
    <col min="11520" max="11524" width="0" style="426" hidden="1" customWidth="1"/>
    <col min="11525" max="11769" width="9.140625" style="426"/>
    <col min="11770" max="11770" width="6.140625" style="426" customWidth="1"/>
    <col min="11771" max="11771" width="97.28515625" style="426" customWidth="1"/>
    <col min="11772" max="11772" width="10.5703125" style="426" customWidth="1"/>
    <col min="11773" max="11773" width="34.7109375" style="426" customWidth="1"/>
    <col min="11774" max="11774" width="0" style="426" hidden="1" customWidth="1"/>
    <col min="11775" max="11775" width="25.140625" style="426" customWidth="1"/>
    <col min="11776" max="11780" width="0" style="426" hidden="1" customWidth="1"/>
    <col min="11781" max="12025" width="9.140625" style="426"/>
    <col min="12026" max="12026" width="6.140625" style="426" customWidth="1"/>
    <col min="12027" max="12027" width="97.28515625" style="426" customWidth="1"/>
    <col min="12028" max="12028" width="10.5703125" style="426" customWidth="1"/>
    <col min="12029" max="12029" width="34.7109375" style="426" customWidth="1"/>
    <col min="12030" max="12030" width="0" style="426" hidden="1" customWidth="1"/>
    <col min="12031" max="12031" width="25.140625" style="426" customWidth="1"/>
    <col min="12032" max="12036" width="0" style="426" hidden="1" customWidth="1"/>
    <col min="12037" max="12281" width="9.140625" style="426"/>
    <col min="12282" max="12282" width="6.140625" style="426" customWidth="1"/>
    <col min="12283" max="12283" width="97.28515625" style="426" customWidth="1"/>
    <col min="12284" max="12284" width="10.5703125" style="426" customWidth="1"/>
    <col min="12285" max="12285" width="34.7109375" style="426" customWidth="1"/>
    <col min="12286" max="12286" width="0" style="426" hidden="1" customWidth="1"/>
    <col min="12287" max="12287" width="25.140625" style="426" customWidth="1"/>
    <col min="12288" max="12292" width="0" style="426" hidden="1" customWidth="1"/>
    <col min="12293" max="12537" width="9.140625" style="426"/>
    <col min="12538" max="12538" width="6.140625" style="426" customWidth="1"/>
    <col min="12539" max="12539" width="97.28515625" style="426" customWidth="1"/>
    <col min="12540" max="12540" width="10.5703125" style="426" customWidth="1"/>
    <col min="12541" max="12541" width="34.7109375" style="426" customWidth="1"/>
    <col min="12542" max="12542" width="0" style="426" hidden="1" customWidth="1"/>
    <col min="12543" max="12543" width="25.140625" style="426" customWidth="1"/>
    <col min="12544" max="12548" width="0" style="426" hidden="1" customWidth="1"/>
    <col min="12549" max="12793" width="9.140625" style="426"/>
    <col min="12794" max="12794" width="6.140625" style="426" customWidth="1"/>
    <col min="12795" max="12795" width="97.28515625" style="426" customWidth="1"/>
    <col min="12796" max="12796" width="10.5703125" style="426" customWidth="1"/>
    <col min="12797" max="12797" width="34.7109375" style="426" customWidth="1"/>
    <col min="12798" max="12798" width="0" style="426" hidden="1" customWidth="1"/>
    <col min="12799" max="12799" width="25.140625" style="426" customWidth="1"/>
    <col min="12800" max="12804" width="0" style="426" hidden="1" customWidth="1"/>
    <col min="12805" max="13049" width="9.140625" style="426"/>
    <col min="13050" max="13050" width="6.140625" style="426" customWidth="1"/>
    <col min="13051" max="13051" width="97.28515625" style="426" customWidth="1"/>
    <col min="13052" max="13052" width="10.5703125" style="426" customWidth="1"/>
    <col min="13053" max="13053" width="34.7109375" style="426" customWidth="1"/>
    <col min="13054" max="13054" width="0" style="426" hidden="1" customWidth="1"/>
    <col min="13055" max="13055" width="25.140625" style="426" customWidth="1"/>
    <col min="13056" max="13060" width="0" style="426" hidden="1" customWidth="1"/>
    <col min="13061" max="13305" width="9.140625" style="426"/>
    <col min="13306" max="13306" width="6.140625" style="426" customWidth="1"/>
    <col min="13307" max="13307" width="97.28515625" style="426" customWidth="1"/>
    <col min="13308" max="13308" width="10.5703125" style="426" customWidth="1"/>
    <col min="13309" max="13309" width="34.7109375" style="426" customWidth="1"/>
    <col min="13310" max="13310" width="0" style="426" hidden="1" customWidth="1"/>
    <col min="13311" max="13311" width="25.140625" style="426" customWidth="1"/>
    <col min="13312" max="13316" width="0" style="426" hidden="1" customWidth="1"/>
    <col min="13317" max="13561" width="9.140625" style="426"/>
    <col min="13562" max="13562" width="6.140625" style="426" customWidth="1"/>
    <col min="13563" max="13563" width="97.28515625" style="426" customWidth="1"/>
    <col min="13564" max="13564" width="10.5703125" style="426" customWidth="1"/>
    <col min="13565" max="13565" width="34.7109375" style="426" customWidth="1"/>
    <col min="13566" max="13566" width="0" style="426" hidden="1" customWidth="1"/>
    <col min="13567" max="13567" width="25.140625" style="426" customWidth="1"/>
    <col min="13568" max="13572" width="0" style="426" hidden="1" customWidth="1"/>
    <col min="13573" max="13817" width="9.140625" style="426"/>
    <col min="13818" max="13818" width="6.140625" style="426" customWidth="1"/>
    <col min="13819" max="13819" width="97.28515625" style="426" customWidth="1"/>
    <col min="13820" max="13820" width="10.5703125" style="426" customWidth="1"/>
    <col min="13821" max="13821" width="34.7109375" style="426" customWidth="1"/>
    <col min="13822" max="13822" width="0" style="426" hidden="1" customWidth="1"/>
    <col min="13823" max="13823" width="25.140625" style="426" customWidth="1"/>
    <col min="13824" max="13828" width="0" style="426" hidden="1" customWidth="1"/>
    <col min="13829" max="14073" width="9.140625" style="426"/>
    <col min="14074" max="14074" width="6.140625" style="426" customWidth="1"/>
    <col min="14075" max="14075" width="97.28515625" style="426" customWidth="1"/>
    <col min="14076" max="14076" width="10.5703125" style="426" customWidth="1"/>
    <col min="14077" max="14077" width="34.7109375" style="426" customWidth="1"/>
    <col min="14078" max="14078" width="0" style="426" hidden="1" customWidth="1"/>
    <col min="14079" max="14079" width="25.140625" style="426" customWidth="1"/>
    <col min="14080" max="14084" width="0" style="426" hidden="1" customWidth="1"/>
    <col min="14085" max="14329" width="9.140625" style="426"/>
    <col min="14330" max="14330" width="6.140625" style="426" customWidth="1"/>
    <col min="14331" max="14331" width="97.28515625" style="426" customWidth="1"/>
    <col min="14332" max="14332" width="10.5703125" style="426" customWidth="1"/>
    <col min="14333" max="14333" width="34.7109375" style="426" customWidth="1"/>
    <col min="14334" max="14334" width="0" style="426" hidden="1" customWidth="1"/>
    <col min="14335" max="14335" width="25.140625" style="426" customWidth="1"/>
    <col min="14336" max="14340" width="0" style="426" hidden="1" customWidth="1"/>
    <col min="14341" max="14585" width="9.140625" style="426"/>
    <col min="14586" max="14586" width="6.140625" style="426" customWidth="1"/>
    <col min="14587" max="14587" width="97.28515625" style="426" customWidth="1"/>
    <col min="14588" max="14588" width="10.5703125" style="426" customWidth="1"/>
    <col min="14589" max="14589" width="34.7109375" style="426" customWidth="1"/>
    <col min="14590" max="14590" width="0" style="426" hidden="1" customWidth="1"/>
    <col min="14591" max="14591" width="25.140625" style="426" customWidth="1"/>
    <col min="14592" max="14596" width="0" style="426" hidden="1" customWidth="1"/>
    <col min="14597" max="14841" width="9.140625" style="426"/>
    <col min="14842" max="14842" width="6.140625" style="426" customWidth="1"/>
    <col min="14843" max="14843" width="97.28515625" style="426" customWidth="1"/>
    <col min="14844" max="14844" width="10.5703125" style="426" customWidth="1"/>
    <col min="14845" max="14845" width="34.7109375" style="426" customWidth="1"/>
    <col min="14846" max="14846" width="0" style="426" hidden="1" customWidth="1"/>
    <col min="14847" max="14847" width="25.140625" style="426" customWidth="1"/>
    <col min="14848" max="14852" width="0" style="426" hidden="1" customWidth="1"/>
    <col min="14853" max="15097" width="9.140625" style="426"/>
    <col min="15098" max="15098" width="6.140625" style="426" customWidth="1"/>
    <col min="15099" max="15099" width="97.28515625" style="426" customWidth="1"/>
    <col min="15100" max="15100" width="10.5703125" style="426" customWidth="1"/>
    <col min="15101" max="15101" width="34.7109375" style="426" customWidth="1"/>
    <col min="15102" max="15102" width="0" style="426" hidden="1" customWidth="1"/>
    <col min="15103" max="15103" width="25.140625" style="426" customWidth="1"/>
    <col min="15104" max="15108" width="0" style="426" hidden="1" customWidth="1"/>
    <col min="15109" max="15353" width="9.140625" style="426"/>
    <col min="15354" max="15354" width="6.140625" style="426" customWidth="1"/>
    <col min="15355" max="15355" width="97.28515625" style="426" customWidth="1"/>
    <col min="15356" max="15356" width="10.5703125" style="426" customWidth="1"/>
    <col min="15357" max="15357" width="34.7109375" style="426" customWidth="1"/>
    <col min="15358" max="15358" width="0" style="426" hidden="1" customWidth="1"/>
    <col min="15359" max="15359" width="25.140625" style="426" customWidth="1"/>
    <col min="15360" max="15364" width="0" style="426" hidden="1" customWidth="1"/>
    <col min="15365" max="15609" width="9.140625" style="426"/>
    <col min="15610" max="15610" width="6.140625" style="426" customWidth="1"/>
    <col min="15611" max="15611" width="97.28515625" style="426" customWidth="1"/>
    <col min="15612" max="15612" width="10.5703125" style="426" customWidth="1"/>
    <col min="15613" max="15613" width="34.7109375" style="426" customWidth="1"/>
    <col min="15614" max="15614" width="0" style="426" hidden="1" customWidth="1"/>
    <col min="15615" max="15615" width="25.140625" style="426" customWidth="1"/>
    <col min="15616" max="15620" width="0" style="426" hidden="1" customWidth="1"/>
    <col min="15621" max="15865" width="9.140625" style="426"/>
    <col min="15866" max="15866" width="6.140625" style="426" customWidth="1"/>
    <col min="15867" max="15867" width="97.28515625" style="426" customWidth="1"/>
    <col min="15868" max="15868" width="10.5703125" style="426" customWidth="1"/>
    <col min="15869" max="15869" width="34.7109375" style="426" customWidth="1"/>
    <col min="15870" max="15870" width="0" style="426" hidden="1" customWidth="1"/>
    <col min="15871" max="15871" width="25.140625" style="426" customWidth="1"/>
    <col min="15872" max="15876" width="0" style="426" hidden="1" customWidth="1"/>
    <col min="15877" max="16121" width="9.140625" style="426"/>
    <col min="16122" max="16122" width="6.140625" style="426" customWidth="1"/>
    <col min="16123" max="16123" width="97.28515625" style="426" customWidth="1"/>
    <col min="16124" max="16124" width="10.5703125" style="426" customWidth="1"/>
    <col min="16125" max="16125" width="34.7109375" style="426" customWidth="1"/>
    <col min="16126" max="16126" width="0" style="426" hidden="1" customWidth="1"/>
    <col min="16127" max="16127" width="25.140625" style="426" customWidth="1"/>
    <col min="16128" max="16132" width="0" style="426" hidden="1" customWidth="1"/>
    <col min="16133" max="16384" width="9.140625" style="426"/>
  </cols>
  <sheetData>
    <row r="1" spans="1:10" ht="17.25" customHeight="1">
      <c r="A1" s="1006" t="s">
        <v>727</v>
      </c>
      <c r="B1" s="1006"/>
      <c r="C1" s="1006"/>
      <c r="D1" s="1006"/>
      <c r="E1" s="925"/>
      <c r="F1" s="925"/>
    </row>
    <row r="2" spans="1:10" ht="31.5" customHeight="1">
      <c r="A2" s="1011" t="s">
        <v>440</v>
      </c>
      <c r="B2" s="1011"/>
      <c r="C2" s="1011"/>
      <c r="D2" s="1011"/>
    </row>
    <row r="3" spans="1:10" ht="32.25" customHeight="1">
      <c r="A3" s="1012" t="s">
        <v>249</v>
      </c>
      <c r="B3" s="1012"/>
      <c r="C3" s="1012"/>
      <c r="D3" s="1012"/>
    </row>
    <row r="4" spans="1:10" ht="30">
      <c r="A4" s="1013" t="s">
        <v>250</v>
      </c>
      <c r="B4" s="1014"/>
      <c r="C4" s="427"/>
      <c r="D4" s="428" t="s">
        <v>478</v>
      </c>
    </row>
    <row r="5" spans="1:10" s="433" customFormat="1" ht="27" customHeight="1">
      <c r="A5" s="429">
        <v>1</v>
      </c>
      <c r="B5" s="430" t="s">
        <v>251</v>
      </c>
      <c r="C5" s="431" t="s">
        <v>252</v>
      </c>
      <c r="D5" s="432">
        <f>SUM(D6:D16)</f>
        <v>2801826.407438993</v>
      </c>
      <c r="E5" s="916"/>
      <c r="F5" s="916"/>
      <c r="G5" s="916"/>
      <c r="H5" s="916"/>
      <c r="I5" s="916"/>
    </row>
    <row r="6" spans="1:10" s="433" customFormat="1" ht="27" customHeight="1">
      <c r="A6" s="434" t="s">
        <v>253</v>
      </c>
      <c r="B6" s="430" t="s">
        <v>254</v>
      </c>
      <c r="C6" s="431"/>
      <c r="D6" s="432">
        <f>'PREV2020 '!S225+'CALCOLO VAC. E PEREQ 2020'!K118+'PREV2020 '!G239+9747.1</f>
        <v>2184672.407438993</v>
      </c>
      <c r="E6" s="917">
        <f>D6+D7+D16+D12</f>
        <v>2779326.407438993</v>
      </c>
      <c r="F6" s="917">
        <f>'CALCOLO VAC. E PEREQ 2020'!K118</f>
        <v>33747.206605659507</v>
      </c>
      <c r="G6" s="917">
        <f>E6-F6</f>
        <v>2745579.2008333337</v>
      </c>
      <c r="H6" s="917"/>
      <c r="I6" s="916"/>
      <c r="J6" s="916"/>
    </row>
    <row r="7" spans="1:10" s="433" customFormat="1" ht="27" customHeight="1">
      <c r="A7" s="435"/>
      <c r="B7" s="436" t="s">
        <v>255</v>
      </c>
      <c r="C7" s="431"/>
      <c r="D7" s="432">
        <f>'PREV2020 '!AF225</f>
        <v>576854</v>
      </c>
      <c r="E7" s="916"/>
      <c r="F7" s="917">
        <f>33494.01</f>
        <v>33494.01</v>
      </c>
      <c r="G7" s="917">
        <f>E6-F7</f>
        <v>2745832.3974389932</v>
      </c>
      <c r="H7" s="916">
        <v>2746365.69</v>
      </c>
      <c r="I7" s="917">
        <f>H7-G7</f>
        <v>533.29256100673229</v>
      </c>
      <c r="J7" s="916"/>
    </row>
    <row r="8" spans="1:10" s="433" customFormat="1" ht="27" customHeight="1">
      <c r="A8" s="435"/>
      <c r="B8" s="436" t="s">
        <v>256</v>
      </c>
      <c r="C8" s="431"/>
      <c r="D8" s="432">
        <v>22500</v>
      </c>
      <c r="E8" s="916"/>
      <c r="F8" s="917"/>
      <c r="G8" s="916"/>
      <c r="H8" s="916"/>
      <c r="I8" s="916"/>
    </row>
    <row r="9" spans="1:10" s="433" customFormat="1" ht="27" customHeight="1">
      <c r="A9" s="435"/>
      <c r="B9" s="436" t="s">
        <v>257</v>
      </c>
      <c r="C9" s="431"/>
      <c r="D9" s="432"/>
      <c r="E9" s="916"/>
      <c r="F9" s="917"/>
      <c r="G9" s="916"/>
      <c r="H9" s="916"/>
      <c r="I9" s="916"/>
    </row>
    <row r="10" spans="1:10" s="433" customFormat="1" ht="27" customHeight="1">
      <c r="A10" s="435"/>
      <c r="B10" s="436" t="s">
        <v>258</v>
      </c>
      <c r="C10" s="431"/>
      <c r="D10" s="432"/>
      <c r="F10" s="869"/>
    </row>
    <row r="11" spans="1:10" s="433" customFormat="1" ht="27" customHeight="1">
      <c r="A11" s="435"/>
      <c r="B11" s="436" t="s">
        <v>259</v>
      </c>
      <c r="C11" s="431"/>
      <c r="D11" s="432"/>
      <c r="F11" s="869"/>
    </row>
    <row r="12" spans="1:10" s="433" customFormat="1" ht="38.25">
      <c r="A12" s="435"/>
      <c r="B12" s="437" t="s">
        <v>260</v>
      </c>
      <c r="C12" s="431"/>
      <c r="D12" s="432">
        <v>4600</v>
      </c>
      <c r="F12" s="869"/>
    </row>
    <row r="13" spans="1:10" s="433" customFormat="1" ht="25.5">
      <c r="A13" s="435"/>
      <c r="B13" s="438" t="s">
        <v>261</v>
      </c>
      <c r="C13" s="431"/>
      <c r="D13" s="432"/>
      <c r="F13" s="869"/>
    </row>
    <row r="14" spans="1:10" s="433" customFormat="1" ht="20.25" customHeight="1">
      <c r="A14" s="435"/>
      <c r="B14" s="437" t="s">
        <v>262</v>
      </c>
      <c r="C14" s="431"/>
      <c r="D14" s="432"/>
      <c r="F14" s="869"/>
    </row>
    <row r="15" spans="1:10" s="433" customFormat="1" ht="20.25" customHeight="1">
      <c r="A15" s="435"/>
      <c r="B15" s="437" t="s">
        <v>263</v>
      </c>
      <c r="C15" s="431"/>
      <c r="D15" s="432"/>
      <c r="F15" s="869"/>
    </row>
    <row r="16" spans="1:10" s="433" customFormat="1" ht="27" customHeight="1">
      <c r="A16" s="439"/>
      <c r="B16" s="437" t="s">
        <v>578</v>
      </c>
      <c r="C16" s="431"/>
      <c r="D16" s="432">
        <f>10000+2000+100*12</f>
        <v>13200</v>
      </c>
      <c r="F16" s="869"/>
    </row>
    <row r="17" spans="1:7" s="433" customFormat="1" ht="38.25">
      <c r="A17" s="445">
        <v>2</v>
      </c>
      <c r="B17" s="438" t="s">
        <v>264</v>
      </c>
      <c r="C17" s="440" t="s">
        <v>252</v>
      </c>
      <c r="D17" s="432"/>
      <c r="F17" s="869"/>
    </row>
    <row r="18" spans="1:7" s="433" customFormat="1" ht="25.5">
      <c r="A18" s="445">
        <v>3</v>
      </c>
      <c r="B18" s="437" t="s">
        <v>265</v>
      </c>
      <c r="C18" s="440" t="s">
        <v>252</v>
      </c>
      <c r="D18" s="432"/>
      <c r="F18" s="869"/>
    </row>
    <row r="19" spans="1:7" s="433" customFormat="1" ht="25.5">
      <c r="A19" s="445">
        <v>4</v>
      </c>
      <c r="B19" s="441" t="s">
        <v>266</v>
      </c>
      <c r="C19" s="442" t="s">
        <v>252</v>
      </c>
      <c r="D19" s="432"/>
      <c r="F19" s="918">
        <f>156887.63-D20</f>
        <v>29</v>
      </c>
    </row>
    <row r="20" spans="1:7" s="433" customFormat="1" ht="20.25">
      <c r="A20" s="445">
        <v>5</v>
      </c>
      <c r="B20" s="443" t="s">
        <v>47</v>
      </c>
      <c r="C20" s="444" t="s">
        <v>252</v>
      </c>
      <c r="D20" s="432">
        <f>'PREV2020 '!AG225+2448.63</f>
        <v>156858.63</v>
      </c>
      <c r="F20" s="869"/>
    </row>
    <row r="21" spans="1:7" s="433" customFormat="1" ht="20.25" customHeight="1">
      <c r="A21" s="1015" t="s">
        <v>267</v>
      </c>
      <c r="B21" s="1015"/>
      <c r="C21" s="1015"/>
      <c r="D21" s="446">
        <f>SUM(D5+D17+D18+D19+D20)</f>
        <v>2958685.0374389929</v>
      </c>
      <c r="F21" s="869"/>
    </row>
    <row r="22" spans="1:7" ht="25.5">
      <c r="A22" s="447">
        <v>6</v>
      </c>
      <c r="B22" s="448" t="s">
        <v>346</v>
      </c>
      <c r="C22" s="449" t="s">
        <v>252</v>
      </c>
      <c r="D22" s="446">
        <v>292930</v>
      </c>
      <c r="E22" s="433"/>
      <c r="F22" s="869"/>
    </row>
    <row r="23" spans="1:7" s="433" customFormat="1" ht="20.25" customHeight="1">
      <c r="A23" s="1016" t="s">
        <v>268</v>
      </c>
      <c r="B23" s="1016"/>
      <c r="C23" s="1016"/>
      <c r="D23" s="446">
        <f>D21+D22</f>
        <v>3251615.0374389929</v>
      </c>
      <c r="F23" s="869"/>
      <c r="G23" s="869"/>
    </row>
    <row r="24" spans="1:7" s="433" customFormat="1" ht="37.15" customHeight="1">
      <c r="A24" s="1016" t="s">
        <v>269</v>
      </c>
      <c r="B24" s="1016"/>
      <c r="C24" s="1016"/>
      <c r="D24" s="428" t="s">
        <v>479</v>
      </c>
      <c r="E24" s="869"/>
      <c r="G24" s="869"/>
    </row>
    <row r="25" spans="1:7" ht="27" customHeight="1">
      <c r="A25" s="451">
        <v>7</v>
      </c>
      <c r="B25" s="430" t="s">
        <v>270</v>
      </c>
      <c r="C25" s="431" t="s">
        <v>271</v>
      </c>
      <c r="D25" s="432">
        <f>'IMPORT. ARRETR. CCNL 21-05-IP1'!AE31+'CALCOLO VAC. E PEREQ 2020'!S108+'CALCOLO VAC. E PEREQ 2020'!S110+'CALCOLO VAC. E PEREQ 2020'!T110+'CALCOLO VAC. E PEREQ 2020'!U110+'CALCOLO VAC. E PEREQ 2020'!W110+'CALCOLO VAC. E PEREQ 2020'!X110+'CALCOLO VAC. E PEREQ 2020'!K118-'CALCOLO VAC. E PEREQ 2020'!G112-'CALCOLO VAC. E PEREQ 2020'!H112</f>
        <v>171025.96210234615</v>
      </c>
      <c r="F25" s="450"/>
    </row>
    <row r="26" spans="1:7" ht="27" customHeight="1">
      <c r="A26" s="452">
        <v>8</v>
      </c>
      <c r="B26" s="453" t="s">
        <v>272</v>
      </c>
      <c r="C26" s="442" t="s">
        <v>271</v>
      </c>
      <c r="D26" s="432">
        <f>'PREV2020 '!G248</f>
        <v>34829.160000000003</v>
      </c>
      <c r="F26" s="450"/>
    </row>
    <row r="27" spans="1:7" ht="27" customHeight="1">
      <c r="A27" s="451">
        <v>9</v>
      </c>
      <c r="B27" s="453" t="s">
        <v>273</v>
      </c>
      <c r="C27" s="442" t="s">
        <v>271</v>
      </c>
      <c r="D27" s="432">
        <f>'PREV2020 '!AD235</f>
        <v>118431.20512000001</v>
      </c>
      <c r="F27" s="450"/>
    </row>
    <row r="28" spans="1:7" ht="27" customHeight="1">
      <c r="A28" s="452">
        <v>10</v>
      </c>
      <c r="B28" s="453" t="s">
        <v>274</v>
      </c>
      <c r="C28" s="442" t="s">
        <v>271</v>
      </c>
      <c r="D28" s="432"/>
    </row>
    <row r="29" spans="1:7" ht="27" customHeight="1">
      <c r="A29" s="451">
        <v>11</v>
      </c>
      <c r="B29" s="453" t="s">
        <v>275</v>
      </c>
      <c r="C29" s="442" t="s">
        <v>271</v>
      </c>
      <c r="D29" s="432"/>
    </row>
    <row r="30" spans="1:7" ht="27" customHeight="1">
      <c r="A30" s="452">
        <v>12</v>
      </c>
      <c r="B30" s="453" t="s">
        <v>276</v>
      </c>
      <c r="C30" s="442" t="s">
        <v>271</v>
      </c>
      <c r="D30" s="432"/>
    </row>
    <row r="31" spans="1:7" ht="27" customHeight="1">
      <c r="A31" s="451">
        <v>13</v>
      </c>
      <c r="B31" s="453" t="s">
        <v>277</v>
      </c>
      <c r="C31" s="442" t="s">
        <v>271</v>
      </c>
      <c r="D31" s="432"/>
    </row>
    <row r="32" spans="1:7" ht="27" customHeight="1">
      <c r="A32" s="452">
        <v>14</v>
      </c>
      <c r="B32" s="453" t="s">
        <v>278</v>
      </c>
      <c r="C32" s="454" t="s">
        <v>271</v>
      </c>
      <c r="D32" s="432"/>
    </row>
    <row r="33" spans="1:7" ht="27" customHeight="1">
      <c r="A33" s="451">
        <v>15</v>
      </c>
      <c r="B33" s="453" t="s">
        <v>279</v>
      </c>
      <c r="C33" s="442" t="s">
        <v>271</v>
      </c>
      <c r="D33" s="432"/>
    </row>
    <row r="34" spans="1:7" ht="27" customHeight="1">
      <c r="A34" s="452">
        <v>16</v>
      </c>
      <c r="B34" s="453" t="s">
        <v>280</v>
      </c>
      <c r="C34" s="442" t="s">
        <v>271</v>
      </c>
      <c r="D34" s="432"/>
    </row>
    <row r="35" spans="1:7" ht="27" customHeight="1">
      <c r="A35" s="451">
        <v>17</v>
      </c>
      <c r="B35" s="455" t="s">
        <v>281</v>
      </c>
      <c r="C35" s="442" t="s">
        <v>271</v>
      </c>
      <c r="D35" s="432"/>
    </row>
    <row r="36" spans="1:7" ht="27" customHeight="1">
      <c r="A36" s="452">
        <v>18</v>
      </c>
      <c r="B36" s="456" t="s">
        <v>282</v>
      </c>
      <c r="C36" s="442" t="s">
        <v>271</v>
      </c>
      <c r="D36" s="432"/>
    </row>
    <row r="37" spans="1:7" ht="27" customHeight="1">
      <c r="A37" s="451">
        <v>19</v>
      </c>
      <c r="B37" s="456" t="s">
        <v>283</v>
      </c>
      <c r="C37" s="442" t="s">
        <v>271</v>
      </c>
      <c r="D37" s="432">
        <f>'PREV2020 '!G239</f>
        <v>15000</v>
      </c>
    </row>
    <row r="38" spans="1:7" ht="27" customHeight="1">
      <c r="A38" s="451">
        <v>20</v>
      </c>
      <c r="B38" s="456" t="s">
        <v>284</v>
      </c>
      <c r="C38" s="442" t="s">
        <v>271</v>
      </c>
      <c r="D38" s="432"/>
    </row>
    <row r="39" spans="1:7" ht="27" customHeight="1">
      <c r="A39" s="451">
        <v>21</v>
      </c>
      <c r="B39" s="443" t="s">
        <v>285</v>
      </c>
      <c r="C39" s="457" t="s">
        <v>271</v>
      </c>
      <c r="D39" s="432"/>
    </row>
    <row r="40" spans="1:7" ht="27" customHeight="1">
      <c r="A40" s="458">
        <v>22</v>
      </c>
      <c r="B40" s="459" t="s">
        <v>286</v>
      </c>
      <c r="C40" s="457" t="s">
        <v>271</v>
      </c>
      <c r="D40" s="432"/>
    </row>
    <row r="41" spans="1:7" ht="51">
      <c r="A41" s="458">
        <v>23</v>
      </c>
      <c r="B41" s="459" t="s">
        <v>287</v>
      </c>
      <c r="C41" s="457" t="s">
        <v>271</v>
      </c>
      <c r="D41" s="432"/>
    </row>
    <row r="42" spans="1:7" ht="20.25">
      <c r="A42" s="458">
        <v>24</v>
      </c>
      <c r="B42" s="459" t="s">
        <v>697</v>
      </c>
      <c r="C42" s="457" t="s">
        <v>271</v>
      </c>
      <c r="D42" s="432"/>
      <c r="F42" s="450"/>
      <c r="G42" s="450"/>
    </row>
    <row r="43" spans="1:7" ht="30" customHeight="1">
      <c r="A43" s="1016" t="s">
        <v>288</v>
      </c>
      <c r="B43" s="1016"/>
      <c r="C43" s="1016"/>
      <c r="D43" s="488">
        <f>SUM(D25:D42)-0.01</f>
        <v>339286.31722234614</v>
      </c>
      <c r="F43" s="450"/>
    </row>
    <row r="44" spans="1:7" ht="30" customHeight="1">
      <c r="A44" s="1016" t="s">
        <v>289</v>
      </c>
      <c r="B44" s="1016"/>
      <c r="C44" s="1016"/>
      <c r="D44" s="488">
        <f>D23-D43-0.01</f>
        <v>2912328.710216647</v>
      </c>
      <c r="F44" s="450"/>
    </row>
    <row r="45" spans="1:7" s="463" customFormat="1" ht="126.75" hidden="1" customHeight="1">
      <c r="A45" s="460"/>
      <c r="B45" s="461"/>
      <c r="C45" s="460"/>
      <c r="D45" s="462"/>
    </row>
    <row r="46" spans="1:7" s="463" customFormat="1" ht="30" customHeight="1">
      <c r="A46" s="460"/>
      <c r="B46" s="1017" t="s">
        <v>290</v>
      </c>
      <c r="C46" s="1017"/>
      <c r="D46" s="464">
        <f>3036353</f>
        <v>3036353</v>
      </c>
    </row>
    <row r="47" spans="1:7" s="463" customFormat="1" ht="30" customHeight="1">
      <c r="A47" s="460"/>
      <c r="B47" s="1017" t="s">
        <v>292</v>
      </c>
      <c r="C47" s="1017"/>
      <c r="D47" s="464">
        <v>38561.69</v>
      </c>
    </row>
    <row r="48" spans="1:7" ht="65.45" customHeight="1">
      <c r="A48" s="465"/>
      <c r="B48" s="1017" t="s">
        <v>293</v>
      </c>
      <c r="C48" s="1017"/>
      <c r="D48" s="464">
        <f>D46-D47</f>
        <v>2997791.31</v>
      </c>
    </row>
    <row r="49" spans="1:7" ht="15">
      <c r="A49" s="465"/>
      <c r="B49" s="1007" t="s">
        <v>291</v>
      </c>
      <c r="C49" s="1007"/>
      <c r="D49" s="483" t="str">
        <f>IF(D44&lt;D48,"SI","NO")</f>
        <v>SI</v>
      </c>
    </row>
    <row r="50" spans="1:7">
      <c r="A50" s="465"/>
      <c r="B50" s="1010"/>
      <c r="C50" s="1010"/>
      <c r="D50" s="465"/>
    </row>
    <row r="51" spans="1:7" ht="15.75">
      <c r="A51" s="465"/>
      <c r="B51" s="1007" t="s">
        <v>699</v>
      </c>
      <c r="C51" s="1007"/>
      <c r="D51" s="899">
        <f>IF(D44&lt;D48,D48-D44,0)</f>
        <v>85462.599783353042</v>
      </c>
      <c r="E51" s="884">
        <v>122520.0081074466</v>
      </c>
      <c r="F51" s="883">
        <f>D51-E51</f>
        <v>-37057.408324093558</v>
      </c>
      <c r="G51" s="450"/>
    </row>
    <row r="52" spans="1:7" ht="15">
      <c r="B52" s="1007"/>
      <c r="C52" s="1007"/>
      <c r="E52" s="450"/>
    </row>
    <row r="53" spans="1:7" ht="72" customHeight="1">
      <c r="B53" s="1008" t="s">
        <v>674</v>
      </c>
      <c r="C53" s="1009"/>
      <c r="D53" s="464">
        <f>Facolass.20!K37</f>
        <v>18385.810631570632</v>
      </c>
      <c r="E53" s="806" t="s">
        <v>579</v>
      </c>
      <c r="F53" s="898" t="s">
        <v>703</v>
      </c>
    </row>
    <row r="54" spans="1:7" ht="45" hidden="1" customHeight="1">
      <c r="B54" s="1007"/>
      <c r="C54" s="1007"/>
      <c r="D54" s="468"/>
    </row>
    <row r="55" spans="1:7" ht="15.75">
      <c r="B55" s="1020" t="s">
        <v>482</v>
      </c>
      <c r="C55" s="1021"/>
      <c r="D55" s="896">
        <v>91301.39</v>
      </c>
      <c r="F55" s="899">
        <f>Facolass.20!K36</f>
        <v>19550.815753142859</v>
      </c>
    </row>
    <row r="56" spans="1:7">
      <c r="B56" s="1022" t="s">
        <v>483</v>
      </c>
      <c r="C56" s="1023"/>
      <c r="D56" s="897">
        <f>'PREV2020 '!S24+'PREV2020 '!S24*23.8%+'PREV2020 '!S24*2.88%+'PREV2020 '!S24*8.5%+'PREV2020 '!S24*0.5%</f>
        <v>17062.796595200005</v>
      </c>
      <c r="E56" s="426" t="s">
        <v>484</v>
      </c>
    </row>
    <row r="57" spans="1:7" ht="15">
      <c r="B57" s="1020" t="s">
        <v>485</v>
      </c>
      <c r="C57" s="1021"/>
      <c r="D57" s="897">
        <f>D56</f>
        <v>17062.796595200005</v>
      </c>
    </row>
    <row r="58" spans="1:7">
      <c r="B58" s="1024" t="s">
        <v>486</v>
      </c>
      <c r="C58" s="1025"/>
      <c r="D58" s="897">
        <f>D55-D57</f>
        <v>74238.593404799991</v>
      </c>
    </row>
    <row r="59" spans="1:7" ht="15" hidden="1">
      <c r="B59" s="469"/>
    </row>
    <row r="60" spans="1:7" hidden="1"/>
    <row r="61" spans="1:7" hidden="1">
      <c r="D61" s="466">
        <f>D60-1222</f>
        <v>-1222</v>
      </c>
    </row>
    <row r="62" spans="1:7" hidden="1">
      <c r="D62" s="466">
        <f>D61-1300</f>
        <v>-2522</v>
      </c>
    </row>
    <row r="63" spans="1:7" hidden="1">
      <c r="D63" s="466">
        <f>D62-500</f>
        <v>-3022</v>
      </c>
    </row>
    <row r="64" spans="1:7" hidden="1">
      <c r="D64" s="466">
        <f>D63-137</f>
        <v>-3159</v>
      </c>
    </row>
    <row r="65" spans="2:4" hidden="1">
      <c r="D65" s="466">
        <f>D64-260</f>
        <v>-3419</v>
      </c>
    </row>
    <row r="66" spans="2:4" hidden="1">
      <c r="D66" s="466">
        <f>D65-100</f>
        <v>-3519</v>
      </c>
    </row>
    <row r="67" spans="2:4" hidden="1">
      <c r="D67" s="467">
        <f>D21</f>
        <v>2958685.0374389929</v>
      </c>
    </row>
    <row r="68" spans="2:4" hidden="1"/>
    <row r="69" spans="2:4" hidden="1">
      <c r="D69" s="467">
        <f>D66-D67</f>
        <v>-2962204.0374389929</v>
      </c>
    </row>
    <row r="70" spans="2:4" hidden="1"/>
    <row r="71" spans="2:4" hidden="1"/>
    <row r="72" spans="2:4" hidden="1"/>
    <row r="73" spans="2:4" hidden="1">
      <c r="D73" s="467"/>
    </row>
    <row r="74" spans="2:4" hidden="1"/>
    <row r="75" spans="2:4" hidden="1"/>
    <row r="76" spans="2:4" hidden="1">
      <c r="D76" s="467">
        <f>D66-D40</f>
        <v>-3519</v>
      </c>
    </row>
    <row r="77" spans="2:4" hidden="1"/>
    <row r="78" spans="2:4" hidden="1">
      <c r="B78" s="426" t="s">
        <v>486</v>
      </c>
      <c r="D78" s="467">
        <f>D55-D57</f>
        <v>74238.593404799991</v>
      </c>
    </row>
    <row r="79" spans="2:4" hidden="1"/>
    <row r="80" spans="2:4" hidden="1"/>
    <row r="81" spans="1:6" s="843" customFormat="1" ht="15.75" hidden="1">
      <c r="A81" s="840"/>
      <c r="B81" s="841" t="s">
        <v>675</v>
      </c>
      <c r="C81"/>
      <c r="D81" s="842">
        <v>2835925.68</v>
      </c>
    </row>
    <row r="82" spans="1:6" s="843" customFormat="1" ht="15" hidden="1">
      <c r="A82" s="840"/>
      <c r="C82"/>
      <c r="D82" s="840"/>
    </row>
    <row r="83" spans="1:6" s="843" customFormat="1" ht="39" hidden="1">
      <c r="A83" s="840"/>
      <c r="B83" s="844" t="s">
        <v>676</v>
      </c>
      <c r="C83"/>
      <c r="D83" s="842">
        <v>14169063.16</v>
      </c>
    </row>
    <row r="84" spans="1:6" s="843" customFormat="1" ht="26.25" hidden="1">
      <c r="A84" s="840"/>
      <c r="B84" s="844" t="s">
        <v>677</v>
      </c>
      <c r="C84"/>
      <c r="D84" s="842">
        <v>14441531.42</v>
      </c>
    </row>
    <row r="85" spans="1:6" s="843" customFormat="1" ht="26.25" hidden="1">
      <c r="A85" s="840"/>
      <c r="B85" s="844" t="s">
        <v>678</v>
      </c>
      <c r="C85"/>
      <c r="D85" s="842">
        <v>14773466.640000001</v>
      </c>
    </row>
    <row r="86" spans="1:6" s="843" customFormat="1" ht="15" hidden="1">
      <c r="A86" s="840"/>
      <c r="B86" s="845"/>
      <c r="C86"/>
      <c r="D86" s="840"/>
    </row>
    <row r="87" spans="1:6" s="843" customFormat="1" ht="26.25" hidden="1">
      <c r="A87" s="840"/>
      <c r="B87" s="844" t="s">
        <v>679</v>
      </c>
      <c r="C87"/>
      <c r="D87" s="842">
        <f>(D83+D84+D85)/3</f>
        <v>14461353.74</v>
      </c>
    </row>
    <row r="88" spans="1:6" s="843" customFormat="1" ht="15" hidden="1">
      <c r="A88" s="840"/>
      <c r="B88" s="845"/>
      <c r="C88"/>
      <c r="D88" s="840"/>
    </row>
    <row r="89" spans="1:6" s="843" customFormat="1" ht="26.25" hidden="1">
      <c r="A89" s="840"/>
      <c r="B89" s="844" t="s">
        <v>680</v>
      </c>
      <c r="C89"/>
      <c r="D89" s="842">
        <v>661600</v>
      </c>
      <c r="E89" s="846">
        <f>D83-D89</f>
        <v>13507463.16</v>
      </c>
      <c r="F89" s="846">
        <f>(E89+D84+D85)/3</f>
        <v>14240820.406666666</v>
      </c>
    </row>
    <row r="90" spans="1:6" s="843" customFormat="1" ht="15" hidden="1">
      <c r="A90" s="840"/>
      <c r="B90" s="845"/>
      <c r="C90"/>
      <c r="D90" s="840"/>
      <c r="E90" s="847"/>
      <c r="F90" s="847"/>
    </row>
    <row r="91" spans="1:6" s="843" customFormat="1" ht="39" hidden="1">
      <c r="A91" s="840"/>
      <c r="B91" s="844" t="s">
        <v>681</v>
      </c>
      <c r="C91"/>
      <c r="D91" s="842">
        <f>D87-D89</f>
        <v>13799753.74</v>
      </c>
      <c r="E91" s="847"/>
      <c r="F91" s="847"/>
    </row>
    <row r="92" spans="1:6" s="843" customFormat="1" ht="15" hidden="1">
      <c r="A92" s="840"/>
      <c r="B92" s="845"/>
      <c r="C92"/>
      <c r="D92" s="840"/>
      <c r="E92" s="847"/>
      <c r="F92" s="847"/>
    </row>
    <row r="93" spans="1:6" s="843" customFormat="1" ht="15.75" hidden="1">
      <c r="A93" s="840"/>
      <c r="B93" s="841" t="s">
        <v>682</v>
      </c>
      <c r="C93"/>
      <c r="D93" s="848">
        <f>D81/D91</f>
        <v>0.20550552810082248</v>
      </c>
      <c r="E93" s="849">
        <f>D81/F89</f>
        <v>0.19914061121593782</v>
      </c>
      <c r="F93" s="847"/>
    </row>
    <row r="94" spans="1:6" s="843" customFormat="1" ht="15" hidden="1">
      <c r="A94" s="840"/>
      <c r="B94"/>
      <c r="C94"/>
      <c r="D94" s="840"/>
      <c r="E94" s="847"/>
      <c r="F94" s="847"/>
    </row>
    <row r="95" spans="1:6" s="843" customFormat="1" ht="15.75" hidden="1">
      <c r="A95" s="840"/>
      <c r="B95" s="841" t="s">
        <v>683</v>
      </c>
      <c r="C95"/>
      <c r="D95" s="850">
        <v>16456</v>
      </c>
    </row>
    <row r="96" spans="1:6" s="843" customFormat="1" ht="15" hidden="1">
      <c r="A96" s="840"/>
      <c r="B96"/>
      <c r="C96"/>
      <c r="D96" s="840"/>
    </row>
    <row r="97" spans="1:7" s="843" customFormat="1" ht="15.75" hidden="1">
      <c r="A97" s="840"/>
      <c r="B97" s="841" t="s">
        <v>684</v>
      </c>
      <c r="C97"/>
      <c r="D97" s="851" t="s">
        <v>685</v>
      </c>
    </row>
    <row r="98" spans="1:7" s="843" customFormat="1" ht="15" hidden="1">
      <c r="A98" s="840"/>
      <c r="C98"/>
      <c r="D98" s="840"/>
    </row>
    <row r="99" spans="1:7" s="843" customFormat="1" ht="26.25" hidden="1">
      <c r="A99" s="840"/>
      <c r="B99" s="845" t="s">
        <v>686</v>
      </c>
      <c r="C99"/>
      <c r="D99" s="840"/>
    </row>
    <row r="100" spans="1:7" s="843" customFormat="1" ht="15.75" hidden="1">
      <c r="A100" s="840"/>
      <c r="B100" s="841" t="s">
        <v>687</v>
      </c>
      <c r="C100"/>
      <c r="D100" s="852">
        <f>D81</f>
        <v>2835925.68</v>
      </c>
    </row>
    <row r="101" spans="1:7" s="843" customFormat="1" ht="15.75" hidden="1">
      <c r="A101" s="840"/>
      <c r="B101"/>
      <c r="C101"/>
      <c r="D101" s="853">
        <v>2020</v>
      </c>
      <c r="E101" s="853">
        <v>2021</v>
      </c>
      <c r="F101" s="853">
        <v>2022</v>
      </c>
    </row>
    <row r="102" spans="1:7" s="843" customFormat="1" ht="15.75" hidden="1">
      <c r="A102" s="840"/>
      <c r="B102" s="854" t="s">
        <v>688</v>
      </c>
      <c r="C102"/>
      <c r="D102" s="848">
        <v>0.09</v>
      </c>
      <c r="E102" s="848">
        <v>0.16</v>
      </c>
      <c r="F102" s="848">
        <v>0.19</v>
      </c>
    </row>
    <row r="103" spans="1:7" s="843" customFormat="1" ht="26.25" hidden="1">
      <c r="A103" s="840"/>
      <c r="B103" s="855" t="s">
        <v>689</v>
      </c>
      <c r="C103"/>
      <c r="D103" s="842">
        <f>D100*D102</f>
        <v>255233.3112</v>
      </c>
      <c r="E103" s="842">
        <f>D81*E102</f>
        <v>453748.10880000005</v>
      </c>
      <c r="F103" s="842">
        <f>D81*F102</f>
        <v>538825.87920000008</v>
      </c>
    </row>
    <row r="104" spans="1:7" hidden="1"/>
    <row r="105" spans="1:7" ht="15.75" hidden="1">
      <c r="B105" s="426" t="s">
        <v>695</v>
      </c>
      <c r="D105" s="842">
        <f>Facolass.20!N147</f>
        <v>146242.86289428573</v>
      </c>
      <c r="E105" s="842">
        <f>Facolass.20!N153</f>
        <v>38008.821321142867</v>
      </c>
    </row>
    <row r="106" spans="1:7" hidden="1"/>
    <row r="107" spans="1:7" ht="15.75" hidden="1">
      <c r="B107" s="426" t="s">
        <v>696</v>
      </c>
      <c r="D107" s="842">
        <f>D103-D105</f>
        <v>108990.44830571426</v>
      </c>
      <c r="E107" s="842">
        <f>E103-E105-D105</f>
        <v>269496.4245845715</v>
      </c>
    </row>
    <row r="108" spans="1:7" hidden="1">
      <c r="B108" s="867"/>
    </row>
    <row r="109" spans="1:7" hidden="1">
      <c r="B109" s="870" t="s">
        <v>705</v>
      </c>
    </row>
    <row r="110" spans="1:7" hidden="1"/>
    <row r="111" spans="1:7" ht="103.9" hidden="1" customHeight="1">
      <c r="B111" s="841" t="s">
        <v>675</v>
      </c>
      <c r="C111"/>
      <c r="D111" s="871">
        <f>2835925.68-3834.8-104.8-18990.39-5017.47</f>
        <v>2807978.22</v>
      </c>
      <c r="E111" s="1018" t="s">
        <v>704</v>
      </c>
      <c r="F111" s="1019"/>
      <c r="G111" s="1019"/>
    </row>
    <row r="112" spans="1:7" ht="15" hidden="1">
      <c r="B112" s="843"/>
      <c r="C112"/>
      <c r="D112" s="840"/>
      <c r="E112" s="843"/>
      <c r="F112" s="843"/>
    </row>
    <row r="113" spans="2:6" ht="39" hidden="1">
      <c r="B113" s="844" t="s">
        <v>676</v>
      </c>
      <c r="C113"/>
      <c r="D113" s="871">
        <v>14169063.16</v>
      </c>
      <c r="E113" s="843"/>
      <c r="F113" s="843"/>
    </row>
    <row r="114" spans="2:6" ht="26.25" hidden="1">
      <c r="B114" s="844" t="s">
        <v>677</v>
      </c>
      <c r="C114"/>
      <c r="D114" s="871">
        <v>14441531.42</v>
      </c>
      <c r="E114" s="843"/>
      <c r="F114" s="843"/>
    </row>
    <row r="115" spans="2:6" ht="26.25" hidden="1">
      <c r="B115" s="844" t="s">
        <v>678</v>
      </c>
      <c r="C115"/>
      <c r="D115" s="871">
        <v>14773466.640000001</v>
      </c>
      <c r="E115" s="843"/>
      <c r="F115" s="843"/>
    </row>
    <row r="116" spans="2:6" ht="15" hidden="1">
      <c r="B116" s="845"/>
      <c r="C116"/>
      <c r="D116" s="840"/>
      <c r="E116" s="843"/>
      <c r="F116" s="843"/>
    </row>
    <row r="117" spans="2:6" ht="26.25" hidden="1">
      <c r="B117" s="844" t="s">
        <v>679</v>
      </c>
      <c r="C117"/>
      <c r="D117" s="871">
        <f>(D113+D114+D115)/3</f>
        <v>14461353.74</v>
      </c>
      <c r="E117" s="843"/>
      <c r="F117" s="843"/>
    </row>
    <row r="118" spans="2:6" ht="15" hidden="1">
      <c r="B118" s="845"/>
      <c r="C118"/>
      <c r="D118" s="840"/>
      <c r="E118" s="843"/>
      <c r="F118" s="843"/>
    </row>
    <row r="119" spans="2:6" ht="26.25" hidden="1">
      <c r="B119" s="844" t="s">
        <v>680</v>
      </c>
      <c r="C119"/>
      <c r="D119" s="871">
        <v>661600</v>
      </c>
      <c r="E119" s="846">
        <f>D113-D119</f>
        <v>13507463.16</v>
      </c>
      <c r="F119" s="846">
        <f>(E119+D114+D115)/3</f>
        <v>14240820.406666666</v>
      </c>
    </row>
    <row r="120" spans="2:6" ht="15" hidden="1">
      <c r="B120" s="845"/>
      <c r="C120"/>
      <c r="D120" s="840"/>
      <c r="E120" s="847"/>
      <c r="F120" s="847"/>
    </row>
    <row r="121" spans="2:6" ht="39" hidden="1">
      <c r="B121" s="844" t="s">
        <v>681</v>
      </c>
      <c r="C121"/>
      <c r="D121" s="871">
        <f>D117-D119</f>
        <v>13799753.74</v>
      </c>
      <c r="E121" s="847"/>
      <c r="F121" s="847"/>
    </row>
    <row r="122" spans="2:6" ht="15" hidden="1">
      <c r="B122" s="845"/>
      <c r="C122"/>
      <c r="D122" s="840"/>
      <c r="E122" s="847"/>
      <c r="F122" s="847"/>
    </row>
    <row r="123" spans="2:6" ht="15.75" hidden="1">
      <c r="B123" s="841" t="s">
        <v>682</v>
      </c>
      <c r="C123"/>
      <c r="D123" s="872">
        <f>D111/D121</f>
        <v>0.20348031370014869</v>
      </c>
      <c r="E123" s="849">
        <f>D111/F119</f>
        <v>0.19717812175241528</v>
      </c>
      <c r="F123" s="847"/>
    </row>
    <row r="124" spans="2:6" ht="15" hidden="1">
      <c r="B124"/>
      <c r="C124"/>
      <c r="D124" s="840"/>
      <c r="E124" s="847"/>
      <c r="F124" s="847"/>
    </row>
    <row r="125" spans="2:6" ht="15.75" hidden="1">
      <c r="B125" s="841" t="s">
        <v>683</v>
      </c>
      <c r="C125"/>
      <c r="D125" s="873">
        <v>16456</v>
      </c>
      <c r="E125" s="843"/>
      <c r="F125" s="843"/>
    </row>
    <row r="126" spans="2:6" ht="15" hidden="1">
      <c r="B126"/>
      <c r="C126"/>
      <c r="D126" s="840"/>
      <c r="E126" s="843"/>
      <c r="F126" s="843"/>
    </row>
    <row r="127" spans="2:6" ht="15.75" hidden="1">
      <c r="B127" s="841" t="s">
        <v>684</v>
      </c>
      <c r="C127"/>
      <c r="D127" s="874" t="s">
        <v>685</v>
      </c>
      <c r="E127" s="843"/>
      <c r="F127" s="843"/>
    </row>
    <row r="128" spans="2:6" ht="15" hidden="1">
      <c r="B128" s="843"/>
      <c r="C128"/>
      <c r="D128" s="840"/>
      <c r="E128" s="843"/>
      <c r="F128" s="843"/>
    </row>
    <row r="129" spans="2:6" ht="26.25" hidden="1">
      <c r="B129" s="845" t="s">
        <v>686</v>
      </c>
      <c r="C129"/>
      <c r="D129" s="840"/>
      <c r="E129" s="843"/>
      <c r="F129" s="843"/>
    </row>
    <row r="130" spans="2:6" ht="15.75" hidden="1">
      <c r="B130" s="841" t="s">
        <v>687</v>
      </c>
      <c r="C130"/>
      <c r="D130" s="875">
        <f>D111</f>
        <v>2807978.22</v>
      </c>
      <c r="E130" s="843"/>
      <c r="F130" s="843"/>
    </row>
    <row r="131" spans="2:6" ht="15.75" hidden="1">
      <c r="B131"/>
      <c r="C131"/>
      <c r="D131" s="853">
        <v>2020</v>
      </c>
      <c r="E131" s="853">
        <v>2021</v>
      </c>
      <c r="F131" s="853">
        <v>2022</v>
      </c>
    </row>
    <row r="132" spans="2:6" ht="15.75" hidden="1">
      <c r="B132" s="854" t="s">
        <v>688</v>
      </c>
      <c r="C132"/>
      <c r="D132" s="872">
        <v>0.09</v>
      </c>
      <c r="E132" s="872">
        <v>0.16</v>
      </c>
      <c r="F132" s="872">
        <v>0.19</v>
      </c>
    </row>
    <row r="133" spans="2:6" ht="26.25" hidden="1">
      <c r="B133" s="855" t="s">
        <v>689</v>
      </c>
      <c r="C133"/>
      <c r="D133" s="871">
        <f>D130*D132</f>
        <v>252718.0398</v>
      </c>
      <c r="E133" s="871">
        <f>D111*E132</f>
        <v>449276.51520000002</v>
      </c>
      <c r="F133" s="871">
        <f>D111*F132</f>
        <v>533515.86180000007</v>
      </c>
    </row>
    <row r="134" spans="2:6" hidden="1"/>
    <row r="135" spans="2:6" hidden="1"/>
    <row r="136" spans="2:6" ht="15.75" hidden="1">
      <c r="B136" s="426" t="s">
        <v>695</v>
      </c>
      <c r="D136" s="842">
        <f>Facolass.20!N147</f>
        <v>146242.86289428573</v>
      </c>
      <c r="E136" s="842">
        <f>Facolass.20!N153</f>
        <v>38008.821321142867</v>
      </c>
    </row>
    <row r="137" spans="2:6" hidden="1"/>
    <row r="138" spans="2:6" ht="15.75" hidden="1">
      <c r="B138" s="426" t="s">
        <v>696</v>
      </c>
      <c r="D138" s="877">
        <f>D133-D136</f>
        <v>106475.17690571427</v>
      </c>
      <c r="E138" s="877">
        <f>E133-E136-D136</f>
        <v>265024.83098457148</v>
      </c>
    </row>
    <row r="139" spans="2:6" hidden="1">
      <c r="D139" s="879"/>
    </row>
    <row r="140" spans="2:6" hidden="1"/>
  </sheetData>
  <sheetProtection formatCells="0" formatColumns="0" formatRows="0" insertColumns="0" insertRows="0" insertHyperlinks="0" deleteColumns="0" deleteRows="0" sort="0" autoFilter="0" pivotTables="0"/>
  <mergeCells count="23">
    <mergeCell ref="B47:C47"/>
    <mergeCell ref="B48:C48"/>
    <mergeCell ref="E111:G111"/>
    <mergeCell ref="B55:C55"/>
    <mergeCell ref="B56:C56"/>
    <mergeCell ref="B57:C57"/>
    <mergeCell ref="B58:C58"/>
    <mergeCell ref="A1:D1"/>
    <mergeCell ref="B51:C51"/>
    <mergeCell ref="B52:C52"/>
    <mergeCell ref="B53:C53"/>
    <mergeCell ref="B54:C54"/>
    <mergeCell ref="B50:C50"/>
    <mergeCell ref="B49:C49"/>
    <mergeCell ref="A2:D2"/>
    <mergeCell ref="A3:D3"/>
    <mergeCell ref="A4:B4"/>
    <mergeCell ref="A21:C21"/>
    <mergeCell ref="A23:C23"/>
    <mergeCell ref="A24:C24"/>
    <mergeCell ref="A43:C43"/>
    <mergeCell ref="A44:C44"/>
    <mergeCell ref="B46:C46"/>
  </mergeCells>
  <conditionalFormatting sqref="D25:D42 D5:D23">
    <cfRule type="expression" dxfId="1" priority="2" stopIfTrue="1">
      <formula>ISBLANK(D5)</formula>
    </cfRule>
  </conditionalFormatting>
  <printOptions horizontalCentered="1" verticalCentered="1" gridLines="1"/>
  <pageMargins left="0.59055118110236227" right="0.59055118110236227" top="0.78740157480314965" bottom="0.78740157480314965" header="0.51181102362204722" footer="0.51181102362204722"/>
  <pageSetup paperSize="8" scale="7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T157"/>
  <sheetViews>
    <sheetView topLeftCell="G133" zoomScaleNormal="100" workbookViewId="0">
      <selection activeCell="N148" sqref="N148"/>
    </sheetView>
  </sheetViews>
  <sheetFormatPr defaultRowHeight="15"/>
  <cols>
    <col min="1" max="1" width="26.140625" customWidth="1"/>
    <col min="2" max="2" width="18.7109375" customWidth="1"/>
    <col min="3" max="3" width="15" customWidth="1"/>
    <col min="4" max="4" width="11.5703125" customWidth="1"/>
    <col min="5" max="5" width="12" customWidth="1"/>
    <col min="6" max="6" width="18.140625" customWidth="1"/>
    <col min="7" max="7" width="14.42578125" customWidth="1"/>
    <col min="8" max="8" width="19.7109375" customWidth="1"/>
    <col min="9" max="9" width="14.7109375" customWidth="1"/>
    <col min="10" max="11" width="18.85546875" customWidth="1"/>
    <col min="12" max="12" width="24" customWidth="1"/>
    <col min="13" max="13" width="24.42578125" customWidth="1"/>
    <col min="14" max="14" width="27" customWidth="1"/>
    <col min="15" max="15" width="32.42578125" customWidth="1"/>
    <col min="16" max="16" width="12.7109375" bestFit="1" customWidth="1"/>
    <col min="17" max="17" width="10.7109375" bestFit="1" customWidth="1"/>
  </cols>
  <sheetData>
    <row r="1" spans="1:15">
      <c r="A1" s="1026" t="s">
        <v>735</v>
      </c>
      <c r="B1" s="1026"/>
      <c r="C1" s="1026"/>
      <c r="D1" s="1026"/>
    </row>
    <row r="2" spans="1:15" ht="7.5" customHeight="1">
      <c r="A2" s="1027"/>
      <c r="B2" s="1027"/>
      <c r="C2" s="1027"/>
      <c r="D2" s="1027"/>
    </row>
    <row r="3" spans="1:15" ht="38.25" customHeight="1">
      <c r="A3" s="421" t="s">
        <v>3</v>
      </c>
      <c r="B3" s="421" t="s">
        <v>4</v>
      </c>
      <c r="C3" s="421" t="s">
        <v>5</v>
      </c>
      <c r="D3" s="421" t="s">
        <v>6</v>
      </c>
      <c r="E3" s="421" t="s">
        <v>7</v>
      </c>
      <c r="F3" s="421" t="s">
        <v>8</v>
      </c>
      <c r="G3" s="1030" t="s">
        <v>9</v>
      </c>
      <c r="H3" s="1030"/>
      <c r="I3" s="1030"/>
      <c r="J3" s="421" t="s">
        <v>10</v>
      </c>
      <c r="K3" s="421" t="s">
        <v>11</v>
      </c>
      <c r="L3" s="28">
        <f>H5+H6+H7+H8+H10</f>
        <v>138318.28207384492</v>
      </c>
      <c r="M3" s="364">
        <f>J5+J6+J7</f>
        <v>168283.07597936</v>
      </c>
      <c r="N3" s="364">
        <f>M3-L3</f>
        <v>29964.793905515078</v>
      </c>
      <c r="O3" s="364">
        <f>H32-M3</f>
        <v>265694.32403202774</v>
      </c>
    </row>
    <row r="4" spans="1:15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5" ht="43.5" customHeight="1">
      <c r="A5" s="421">
        <v>2014</v>
      </c>
      <c r="B5" s="421" t="s">
        <v>12</v>
      </c>
      <c r="C5" s="421" t="s">
        <v>13</v>
      </c>
      <c r="D5" s="421" t="s">
        <v>14</v>
      </c>
      <c r="E5" s="5">
        <f>G16</f>
        <v>0.75</v>
      </c>
      <c r="F5" s="5">
        <f>N41</f>
        <v>54390.129418666664</v>
      </c>
      <c r="G5" s="6">
        <v>0.6</v>
      </c>
      <c r="H5" s="5">
        <f>F5*G5</f>
        <v>32634.077651199997</v>
      </c>
      <c r="I5" s="1031" t="s">
        <v>15</v>
      </c>
      <c r="J5" s="14">
        <f>N7</f>
        <v>70149.456743999996</v>
      </c>
      <c r="K5" s="7">
        <f>H5-J5</f>
        <v>-37515.379092799994</v>
      </c>
      <c r="L5" s="1033"/>
      <c r="M5" s="8" t="s">
        <v>243</v>
      </c>
      <c r="N5" s="9">
        <f>N99</f>
        <v>35074.728371999998</v>
      </c>
    </row>
    <row r="6" spans="1:15" ht="45.75" customHeight="1">
      <c r="A6" s="421">
        <v>2014</v>
      </c>
      <c r="B6" s="421" t="s">
        <v>16</v>
      </c>
      <c r="C6" s="421" t="s">
        <v>17</v>
      </c>
      <c r="D6" s="10" t="s">
        <v>18</v>
      </c>
      <c r="E6" s="5">
        <f>G18</f>
        <v>0.75</v>
      </c>
      <c r="F6" s="5">
        <f>N43</f>
        <v>30071.852856471694</v>
      </c>
      <c r="G6" s="6">
        <v>0.6</v>
      </c>
      <c r="H6" s="5">
        <f>F6*G6</f>
        <v>18043.111713883016</v>
      </c>
      <c r="I6" s="1032"/>
      <c r="J6" s="363">
        <f>N6</f>
        <v>36601.911204000004</v>
      </c>
      <c r="K6" s="7">
        <f>H6-J6</f>
        <v>-18558.799490116988</v>
      </c>
      <c r="L6" s="1034"/>
      <c r="M6" s="8" t="s">
        <v>244</v>
      </c>
      <c r="N6" s="9">
        <f>N102</f>
        <v>36601.911204000004</v>
      </c>
    </row>
    <row r="7" spans="1:15" ht="48.75" customHeight="1">
      <c r="A7" s="421">
        <v>2015</v>
      </c>
      <c r="B7" s="421" t="s">
        <v>19</v>
      </c>
      <c r="C7" s="421" t="s">
        <v>20</v>
      </c>
      <c r="D7" s="10" t="s">
        <v>21</v>
      </c>
      <c r="E7" s="5">
        <f t="shared" ref="E7" si="0">G46</f>
        <v>0</v>
      </c>
      <c r="F7" s="5">
        <f>N45</f>
        <v>34536.169668461538</v>
      </c>
      <c r="G7" s="11">
        <v>1</v>
      </c>
      <c r="H7" s="5">
        <f>F7*G7</f>
        <v>34536.169668461538</v>
      </c>
      <c r="I7" s="1031" t="s">
        <v>22</v>
      </c>
      <c r="J7" s="1035">
        <f>N92*2</f>
        <v>61531.708031360002</v>
      </c>
      <c r="K7" s="1037">
        <f>H7+H8-J7</f>
        <v>3082.0249129733274</v>
      </c>
      <c r="L7" s="1034"/>
      <c r="M7" s="8" t="s">
        <v>245</v>
      </c>
      <c r="N7" s="9">
        <f>N5*2</f>
        <v>70149.456743999996</v>
      </c>
    </row>
    <row r="8" spans="1:15" ht="52.5" customHeight="1">
      <c r="A8" s="421">
        <v>2015</v>
      </c>
      <c r="B8" s="421" t="s">
        <v>23</v>
      </c>
      <c r="C8" s="421" t="s">
        <v>17</v>
      </c>
      <c r="D8" s="10" t="s">
        <v>24</v>
      </c>
      <c r="E8" s="5">
        <f>G47</f>
        <v>3110.8930769230769</v>
      </c>
      <c r="F8" s="5">
        <f>N47</f>
        <v>30077.563275871791</v>
      </c>
      <c r="G8" s="11">
        <v>1</v>
      </c>
      <c r="H8" s="5">
        <f>F8*G8</f>
        <v>30077.563275871791</v>
      </c>
      <c r="I8" s="1032"/>
      <c r="J8" s="1036"/>
      <c r="K8" s="1036"/>
      <c r="L8" s="1034"/>
      <c r="N8" s="9">
        <f>N5+N6+N7</f>
        <v>141826.09632000001</v>
      </c>
    </row>
    <row r="9" spans="1:15" ht="4.5" customHeight="1">
      <c r="A9" s="4"/>
      <c r="B9" s="4"/>
      <c r="C9" s="4"/>
      <c r="D9" s="4"/>
      <c r="E9" s="12">
        <f t="shared" ref="E9:E10" si="1">G48</f>
        <v>0</v>
      </c>
      <c r="F9" s="12">
        <f>N48</f>
        <v>0</v>
      </c>
      <c r="G9" s="13"/>
      <c r="H9" s="4"/>
      <c r="I9" s="4"/>
      <c r="J9" s="4"/>
      <c r="K9" s="4"/>
      <c r="L9" s="1034"/>
      <c r="N9" s="9"/>
    </row>
    <row r="10" spans="1:15" ht="61.9" customHeight="1">
      <c r="A10" s="421">
        <v>2016</v>
      </c>
      <c r="B10" s="421" t="s">
        <v>25</v>
      </c>
      <c r="C10" s="421" t="s">
        <v>17</v>
      </c>
      <c r="D10" s="10" t="s">
        <v>24</v>
      </c>
      <c r="E10" s="5">
        <f t="shared" si="1"/>
        <v>3151.2942857142857</v>
      </c>
      <c r="F10" s="5">
        <f>N49</f>
        <v>30703.146352571428</v>
      </c>
      <c r="G10" s="11">
        <v>0.75</v>
      </c>
      <c r="H10" s="5">
        <f>F10*G10</f>
        <v>23027.359764428569</v>
      </c>
      <c r="I10" s="6" t="s">
        <v>26</v>
      </c>
      <c r="J10" s="363">
        <f>N105</f>
        <v>35916.008557599998</v>
      </c>
      <c r="K10" s="14">
        <f>H10-J10</f>
        <v>-12888.648793171429</v>
      </c>
      <c r="L10" s="1034"/>
      <c r="N10" s="9"/>
    </row>
    <row r="11" spans="1:15" ht="6" customHeight="1">
      <c r="A11" s="15"/>
      <c r="B11" s="15"/>
      <c r="C11" s="15"/>
      <c r="D11" s="16"/>
      <c r="E11" s="17"/>
      <c r="F11" s="17"/>
      <c r="G11" s="18"/>
      <c r="H11" s="17"/>
      <c r="I11" s="19"/>
      <c r="J11" s="20"/>
      <c r="K11" s="20"/>
      <c r="N11" s="9"/>
    </row>
    <row r="12" spans="1:15" ht="82.5" customHeight="1">
      <c r="A12" s="421">
        <v>2017</v>
      </c>
      <c r="B12" s="421" t="s">
        <v>27</v>
      </c>
      <c r="C12" s="421" t="s">
        <v>28</v>
      </c>
      <c r="D12" s="10" t="s">
        <v>29</v>
      </c>
      <c r="E12" s="5">
        <f>G52</f>
        <v>3243.6516000000001</v>
      </c>
      <c r="F12" s="5">
        <f>N52</f>
        <v>33523.27236480001</v>
      </c>
      <c r="G12" s="21">
        <v>0.75</v>
      </c>
      <c r="H12" s="5">
        <f>F12*G12</f>
        <v>25142.454273600008</v>
      </c>
      <c r="I12" s="6" t="s">
        <v>30</v>
      </c>
      <c r="J12" s="538">
        <f>N119</f>
        <v>37389.042898857144</v>
      </c>
      <c r="K12" s="920">
        <f>H12-J12</f>
        <v>-12246.588625257136</v>
      </c>
      <c r="L12" s="1041">
        <f>SUM(K12:K18)</f>
        <v>-50409.206553314274</v>
      </c>
      <c r="N12" s="9"/>
    </row>
    <row r="13" spans="1:15" ht="6" customHeight="1">
      <c r="A13" s="15"/>
      <c r="B13" s="15"/>
      <c r="C13" s="15"/>
      <c r="D13" s="16"/>
      <c r="E13" s="17"/>
      <c r="F13" s="17"/>
      <c r="G13" s="22"/>
      <c r="H13" s="17"/>
      <c r="I13" s="19"/>
      <c r="J13" s="20"/>
      <c r="K13" s="20"/>
      <c r="L13" s="1042"/>
    </row>
    <row r="14" spans="1:15" ht="78" customHeight="1">
      <c r="A14" s="421">
        <v>2017</v>
      </c>
      <c r="B14" s="421" t="s">
        <v>31</v>
      </c>
      <c r="C14" s="421" t="s">
        <v>32</v>
      </c>
      <c r="D14" s="10" t="s">
        <v>33</v>
      </c>
      <c r="E14" s="5">
        <f>G54</f>
        <v>3243.6516000000001</v>
      </c>
      <c r="F14" s="5">
        <f>N54</f>
        <v>30567.429219199999</v>
      </c>
      <c r="G14" s="21">
        <v>0.75</v>
      </c>
      <c r="H14" s="5">
        <f>F14*G14</f>
        <v>22925.5719144</v>
      </c>
      <c r="I14" s="6" t="s">
        <v>30</v>
      </c>
      <c r="J14" s="538">
        <f>N117</f>
        <v>35338.730505142856</v>
      </c>
      <c r="K14" s="920">
        <f>H14-J14</f>
        <v>-12413.158590742856</v>
      </c>
      <c r="L14" s="1042"/>
    </row>
    <row r="15" spans="1:15" ht="6" customHeight="1">
      <c r="A15" s="15"/>
      <c r="B15" s="15"/>
      <c r="C15" s="15"/>
      <c r="D15" s="16"/>
      <c r="E15" s="17"/>
      <c r="F15" s="17"/>
      <c r="G15" s="22"/>
      <c r="H15" s="17"/>
      <c r="I15" s="19"/>
      <c r="J15" s="20"/>
      <c r="K15" s="20"/>
      <c r="L15" s="1042"/>
    </row>
    <row r="16" spans="1:15" ht="77.25" customHeight="1">
      <c r="A16" s="421">
        <v>2017</v>
      </c>
      <c r="B16" s="421" t="s">
        <v>34</v>
      </c>
      <c r="C16" s="421" t="s">
        <v>35</v>
      </c>
      <c r="D16" s="10" t="s">
        <v>36</v>
      </c>
      <c r="E16" s="5">
        <f>G56</f>
        <v>3243.6516000000001</v>
      </c>
      <c r="F16" s="5">
        <f>N56</f>
        <v>30776.619193600003</v>
      </c>
      <c r="G16" s="21">
        <v>0.75</v>
      </c>
      <c r="H16" s="5">
        <f>F16*G16</f>
        <v>23082.464395200004</v>
      </c>
      <c r="I16" s="6" t="s">
        <v>30</v>
      </c>
      <c r="J16" s="538">
        <f>N125</f>
        <v>37389.042898857144</v>
      </c>
      <c r="K16" s="920">
        <f>H16-J16</f>
        <v>-14306.57850365714</v>
      </c>
      <c r="L16" s="1042"/>
    </row>
    <row r="17" spans="1:15" ht="6" customHeight="1">
      <c r="A17" s="15"/>
      <c r="B17" s="15"/>
      <c r="C17" s="15"/>
      <c r="D17" s="16"/>
      <c r="E17" s="17"/>
      <c r="F17" s="17"/>
      <c r="G17" s="22"/>
      <c r="H17" s="17"/>
      <c r="I17" s="19"/>
      <c r="J17" s="20"/>
      <c r="K17" s="20"/>
      <c r="L17" s="1042"/>
    </row>
    <row r="18" spans="1:15" ht="78" customHeight="1">
      <c r="A18" s="421">
        <v>2017</v>
      </c>
      <c r="B18" s="421" t="s">
        <v>37</v>
      </c>
      <c r="C18" s="421" t="s">
        <v>28</v>
      </c>
      <c r="D18" s="10" t="s">
        <v>29</v>
      </c>
      <c r="E18" s="5">
        <f>G58</f>
        <v>3243.6516000000001</v>
      </c>
      <c r="F18" s="5">
        <f>N58</f>
        <v>34594.882753600003</v>
      </c>
      <c r="G18" s="21">
        <v>0.75</v>
      </c>
      <c r="H18" s="5">
        <f>F18*G18</f>
        <v>25946.162065200002</v>
      </c>
      <c r="I18" s="6" t="s">
        <v>30</v>
      </c>
      <c r="J18" s="484">
        <f>N132</f>
        <v>37389.042898857144</v>
      </c>
      <c r="K18" s="920">
        <f>H18-J18</f>
        <v>-11442.880833657142</v>
      </c>
      <c r="L18" s="1042"/>
      <c r="N18" s="364"/>
    </row>
    <row r="19" spans="1:15" ht="8.25" customHeight="1">
      <c r="A19" s="15"/>
      <c r="B19" s="15"/>
      <c r="C19" s="15"/>
      <c r="D19" s="16"/>
      <c r="E19" s="17"/>
      <c r="F19" s="17"/>
      <c r="G19" s="19"/>
      <c r="H19" s="17"/>
      <c r="I19" s="19"/>
      <c r="J19" s="20"/>
      <c r="K19" s="20"/>
    </row>
    <row r="20" spans="1:15" ht="46.5" customHeight="1">
      <c r="A20" s="421">
        <v>2018</v>
      </c>
      <c r="B20" s="421" t="s">
        <v>209</v>
      </c>
      <c r="C20" s="421" t="s">
        <v>132</v>
      </c>
      <c r="D20" s="10" t="s">
        <v>210</v>
      </c>
      <c r="E20" s="5">
        <f>G61</f>
        <v>3554.1942857142858</v>
      </c>
      <c r="F20" s="5">
        <f>N63</f>
        <v>19731.863003428571</v>
      </c>
      <c r="G20" s="11">
        <v>1</v>
      </c>
      <c r="H20" s="5">
        <f>F20*G20</f>
        <v>19731.863003428571</v>
      </c>
      <c r="I20" s="6"/>
      <c r="J20" s="484">
        <f>N134</f>
        <v>35422.499337142857</v>
      </c>
      <c r="K20" s="14">
        <f>H20-J20</f>
        <v>-15690.636333714287</v>
      </c>
      <c r="M20" s="364"/>
    </row>
    <row r="21" spans="1:15" ht="8.25" customHeight="1">
      <c r="A21" s="15"/>
      <c r="B21" s="15"/>
      <c r="C21" s="15"/>
      <c r="D21" s="16"/>
      <c r="E21" s="17"/>
      <c r="F21" s="17"/>
      <c r="G21" s="22"/>
      <c r="H21" s="17"/>
      <c r="I21" s="19"/>
      <c r="J21" s="20"/>
      <c r="K21" s="20"/>
    </row>
    <row r="22" spans="1:15" ht="49.5">
      <c r="A22" s="421">
        <v>2018</v>
      </c>
      <c r="B22" s="421" t="s">
        <v>211</v>
      </c>
      <c r="C22" s="421" t="s">
        <v>128</v>
      </c>
      <c r="D22" s="10" t="s">
        <v>212</v>
      </c>
      <c r="E22" s="5">
        <f>E20</f>
        <v>3554.1942857142858</v>
      </c>
      <c r="F22" s="5">
        <f>N61</f>
        <v>42177.02930285714</v>
      </c>
      <c r="G22" s="11">
        <v>1</v>
      </c>
      <c r="H22" s="5">
        <f>F22*G22</f>
        <v>42177.02930285714</v>
      </c>
      <c r="I22" s="6"/>
      <c r="J22" s="484">
        <f>N140</f>
        <v>38008.821321142867</v>
      </c>
      <c r="K22" s="14">
        <f>H22-J22</f>
        <v>4168.207981714273</v>
      </c>
      <c r="N22" s="407"/>
      <c r="O22" s="364"/>
    </row>
    <row r="23" spans="1:15" ht="9" customHeight="1">
      <c r="A23" s="15"/>
      <c r="B23" s="15"/>
      <c r="C23" s="15"/>
      <c r="D23" s="16"/>
      <c r="E23" s="17"/>
      <c r="F23" s="17"/>
      <c r="G23" s="18"/>
      <c r="H23" s="17"/>
      <c r="I23" s="19"/>
      <c r="J23" s="20"/>
      <c r="K23" s="20"/>
    </row>
    <row r="24" spans="1:15" ht="49.5">
      <c r="A24" s="421">
        <v>2018</v>
      </c>
      <c r="B24" s="421" t="s">
        <v>223</v>
      </c>
      <c r="C24" s="421" t="s">
        <v>101</v>
      </c>
      <c r="D24" s="10" t="s">
        <v>224</v>
      </c>
      <c r="E24" s="5">
        <f>E22</f>
        <v>3554.1942857142858</v>
      </c>
      <c r="F24" s="5">
        <f>N65</f>
        <v>31534.720475428578</v>
      </c>
      <c r="G24" s="11">
        <v>1</v>
      </c>
      <c r="H24" s="5">
        <f>F24*G24</f>
        <v>31534.720475428578</v>
      </c>
      <c r="I24" s="6"/>
      <c r="J24" s="14">
        <v>0</v>
      </c>
      <c r="K24" s="14">
        <f>H24-J24</f>
        <v>31534.720475428578</v>
      </c>
    </row>
    <row r="25" spans="1:15" ht="25.5" customHeight="1">
      <c r="A25" s="1049" t="s">
        <v>348</v>
      </c>
      <c r="B25" s="1049"/>
      <c r="C25" s="15"/>
      <c r="D25" s="16"/>
      <c r="E25" s="17"/>
      <c r="F25" s="17"/>
      <c r="G25" s="18"/>
      <c r="H25" s="17"/>
      <c r="I25" s="19"/>
      <c r="J25" s="20"/>
      <c r="K25" s="14">
        <v>1780.96</v>
      </c>
    </row>
    <row r="26" spans="1:15" ht="30.75" customHeight="1">
      <c r="A26" s="1047" t="s">
        <v>349</v>
      </c>
      <c r="B26" s="1048"/>
      <c r="C26" s="15"/>
      <c r="D26" s="16"/>
      <c r="E26" s="17"/>
      <c r="F26" s="17"/>
      <c r="G26" s="18"/>
      <c r="H26" s="17"/>
      <c r="I26" s="19"/>
      <c r="J26" s="20"/>
      <c r="K26" s="14">
        <v>4600</v>
      </c>
    </row>
    <row r="27" spans="1:15" ht="29.25" customHeight="1" thickBot="1">
      <c r="A27" s="1047" t="s">
        <v>441</v>
      </c>
      <c r="B27" s="1048"/>
      <c r="C27" s="15"/>
      <c r="D27" s="16"/>
      <c r="E27" s="17"/>
      <c r="F27" s="17"/>
      <c r="G27" s="18"/>
      <c r="H27" s="17"/>
      <c r="I27" s="19"/>
      <c r="J27" s="20"/>
      <c r="K27" s="14">
        <v>4207.5600000000004</v>
      </c>
    </row>
    <row r="28" spans="1:15" ht="24.75" customHeight="1" thickTop="1">
      <c r="A28" s="15"/>
      <c r="B28" s="15"/>
      <c r="C28" s="15"/>
      <c r="D28" s="16"/>
      <c r="E28" s="17"/>
      <c r="F28" s="14">
        <f>SUM(F5:F24)</f>
        <v>402684.6778849574</v>
      </c>
      <c r="G28" s="14"/>
      <c r="H28" s="14">
        <f>SUM(H5:H24)</f>
        <v>328858.54750395921</v>
      </c>
      <c r="I28" s="14"/>
      <c r="J28" s="14">
        <f>SUM(J5:J24)</f>
        <v>425136.26439696003</v>
      </c>
      <c r="K28" s="14">
        <f>SUM(K5:K24)-K25-K26-K27</f>
        <v>-106866.23689300078</v>
      </c>
      <c r="L28" s="906" t="s">
        <v>213</v>
      </c>
    </row>
    <row r="29" spans="1:15" ht="42.75" customHeight="1">
      <c r="A29" s="421">
        <v>2019</v>
      </c>
      <c r="B29" s="421" t="s">
        <v>442</v>
      </c>
      <c r="C29" s="421" t="s">
        <v>447</v>
      </c>
      <c r="D29" s="10" t="s">
        <v>448</v>
      </c>
      <c r="E29" s="5">
        <f>G68</f>
        <v>3716.5434285714286</v>
      </c>
      <c r="F29" s="5">
        <f>N68</f>
        <v>33405.073417142856</v>
      </c>
      <c r="G29" s="6">
        <v>1</v>
      </c>
      <c r="H29" s="5">
        <f>F29*G29</f>
        <v>33405.073417142856</v>
      </c>
      <c r="I29" s="6"/>
      <c r="J29" s="14">
        <v>0</v>
      </c>
      <c r="K29" s="14">
        <f>H29-J29</f>
        <v>33405.073417142856</v>
      </c>
      <c r="L29" s="921" t="s">
        <v>452</v>
      </c>
      <c r="N29" s="46"/>
      <c r="O29" s="46"/>
    </row>
    <row r="30" spans="1:15" ht="37.5" customHeight="1">
      <c r="A30" s="536">
        <v>2019</v>
      </c>
      <c r="B30" s="536" t="s">
        <v>445</v>
      </c>
      <c r="C30" s="536" t="s">
        <v>2</v>
      </c>
      <c r="D30" s="536" t="s">
        <v>449</v>
      </c>
      <c r="E30" s="5">
        <f>E29</f>
        <v>3716.5434285714286</v>
      </c>
      <c r="F30" s="5">
        <f>N70</f>
        <v>36375.048585142853</v>
      </c>
      <c r="G30" s="6">
        <v>1</v>
      </c>
      <c r="H30" s="5">
        <f t="shared" ref="H30:H31" si="2">F30*G30</f>
        <v>36375.048585142853</v>
      </c>
      <c r="I30" s="536"/>
      <c r="J30" s="536"/>
      <c r="K30" s="14">
        <f t="shared" ref="K30:K31" si="3">H30-J30</f>
        <v>36375.048585142853</v>
      </c>
      <c r="L30" s="921" t="s">
        <v>453</v>
      </c>
      <c r="N30" s="46"/>
      <c r="O30" s="46"/>
    </row>
    <row r="31" spans="1:15" ht="78.75" customHeight="1" thickBot="1">
      <c r="A31" s="536">
        <v>2019</v>
      </c>
      <c r="B31" s="919" t="s">
        <v>733</v>
      </c>
      <c r="C31" s="536" t="s">
        <v>2</v>
      </c>
      <c r="D31" s="536" t="s">
        <v>450</v>
      </c>
      <c r="E31" s="5">
        <f>E30</f>
        <v>3716.5434285714286</v>
      </c>
      <c r="F31" s="5">
        <f>N72</f>
        <v>35338.730505142856</v>
      </c>
      <c r="G31" s="6">
        <f>G30</f>
        <v>1</v>
      </c>
      <c r="H31" s="5">
        <f t="shared" si="2"/>
        <v>35338.730505142856</v>
      </c>
      <c r="I31" s="536"/>
      <c r="J31" s="5"/>
      <c r="K31" s="14">
        <f t="shared" si="3"/>
        <v>35338.730505142856</v>
      </c>
      <c r="L31" s="921" t="s">
        <v>454</v>
      </c>
      <c r="N31" s="46"/>
      <c r="O31" s="46"/>
    </row>
    <row r="32" spans="1:15" ht="31.5" customHeight="1" thickTop="1" thickBot="1">
      <c r="A32" s="4"/>
      <c r="B32" s="4"/>
      <c r="C32" s="4"/>
      <c r="D32" s="4"/>
      <c r="E32" s="4"/>
      <c r="F32" s="24">
        <f>F28+F29+F30+F31</f>
        <v>507803.5303923859</v>
      </c>
      <c r="G32" s="24"/>
      <c r="H32" s="24">
        <f>H28+H29+H30+H31</f>
        <v>433977.40001138777</v>
      </c>
      <c r="I32" s="24"/>
      <c r="J32" s="24">
        <f>J28+J29+J30+J31</f>
        <v>425136.26439696003</v>
      </c>
      <c r="K32" s="24">
        <f>K28+K29+K30+K31</f>
        <v>-1747.3843855722225</v>
      </c>
      <c r="L32" s="904" t="s">
        <v>451</v>
      </c>
      <c r="N32" s="364"/>
    </row>
    <row r="33" spans="1:17" ht="18" hidden="1" customHeight="1" thickTop="1">
      <c r="A33" s="4"/>
      <c r="B33" s="4"/>
      <c r="C33" s="4"/>
      <c r="D33" s="4"/>
      <c r="E33" s="4"/>
      <c r="F33" s="25"/>
      <c r="G33" s="4"/>
      <c r="H33" s="26"/>
      <c r="I33" s="23"/>
      <c r="J33" s="365">
        <f>H32-J32</f>
        <v>8841.1356144277379</v>
      </c>
      <c r="K33" s="26"/>
    </row>
    <row r="34" spans="1:17" ht="6.75" customHeight="1" thickTop="1">
      <c r="A34" s="4"/>
      <c r="B34" s="4"/>
      <c r="C34" s="4"/>
      <c r="D34" s="4"/>
      <c r="E34" s="4"/>
      <c r="F34" s="4"/>
      <c r="G34" s="4"/>
      <c r="H34" s="26"/>
      <c r="I34" s="23"/>
      <c r="J34" s="23"/>
      <c r="K34" s="26"/>
    </row>
    <row r="35" spans="1:17" ht="34.5" customHeight="1">
      <c r="A35" s="536">
        <v>2020</v>
      </c>
      <c r="B35" s="919" t="s">
        <v>734</v>
      </c>
      <c r="C35" s="536" t="s">
        <v>99</v>
      </c>
      <c r="D35" s="536" t="s">
        <v>464</v>
      </c>
      <c r="E35" s="5">
        <f>E31</f>
        <v>3716.5434285714286</v>
      </c>
      <c r="F35" s="5">
        <f>N75</f>
        <v>36004.878601142853</v>
      </c>
      <c r="G35" s="6">
        <v>1</v>
      </c>
      <c r="H35" s="5">
        <f t="shared" ref="H35" si="4">F35*G35</f>
        <v>36004.878601142853</v>
      </c>
      <c r="I35" s="536"/>
      <c r="J35" s="484">
        <f>N136</f>
        <v>35422.499337142857</v>
      </c>
      <c r="K35" s="14">
        <f>H35-J35</f>
        <v>582.3792639999956</v>
      </c>
      <c r="L35" s="905" t="s">
        <v>461</v>
      </c>
    </row>
    <row r="36" spans="1:17" ht="39" customHeight="1" thickBot="1">
      <c r="A36" s="536">
        <v>2020</v>
      </c>
      <c r="B36" s="536" t="s">
        <v>465</v>
      </c>
      <c r="C36" s="536" t="s">
        <v>447</v>
      </c>
      <c r="D36" s="536" t="s">
        <v>466</v>
      </c>
      <c r="E36" s="5">
        <f>E35</f>
        <v>3716.5434285714286</v>
      </c>
      <c r="F36" s="5">
        <f>N77</f>
        <v>19550.815753142859</v>
      </c>
      <c r="G36" s="6">
        <v>1</v>
      </c>
      <c r="H36" s="5">
        <f t="shared" ref="H36" si="5">F36*G36</f>
        <v>19550.815753142859</v>
      </c>
      <c r="I36" s="536"/>
      <c r="J36" s="893"/>
      <c r="K36" s="14">
        <f>H36-J36</f>
        <v>19550.815753142859</v>
      </c>
      <c r="L36" s="905" t="s">
        <v>468</v>
      </c>
    </row>
    <row r="37" spans="1:17" ht="37.15" customHeight="1" thickTop="1" thickBot="1">
      <c r="A37" s="4"/>
      <c r="B37" s="4"/>
      <c r="C37" s="4"/>
      <c r="D37" s="4"/>
      <c r="E37" s="4"/>
      <c r="F37" s="24">
        <f>F32+F35+F36</f>
        <v>563359.22474667162</v>
      </c>
      <c r="G37" s="24"/>
      <c r="H37" s="24">
        <f>H32+H35+H36</f>
        <v>489533.09436567349</v>
      </c>
      <c r="I37" s="24"/>
      <c r="J37" s="24">
        <f>J32+J35+J36</f>
        <v>460558.76373410289</v>
      </c>
      <c r="K37" s="24">
        <f>K32+K35+K36</f>
        <v>18385.810631570632</v>
      </c>
      <c r="L37" s="904" t="s">
        <v>469</v>
      </c>
    </row>
    <row r="38" spans="1:17" ht="34.5" customHeight="1" thickTop="1">
      <c r="A38" s="4"/>
      <c r="B38" s="4"/>
      <c r="C38" s="4"/>
      <c r="D38" s="4"/>
      <c r="E38" s="4"/>
      <c r="F38" s="4"/>
      <c r="G38" s="4"/>
      <c r="H38" s="26"/>
      <c r="I38" s="23"/>
      <c r="J38" s="365">
        <f>H37-J37-K25-K26-K27</f>
        <v>18385.810631570599</v>
      </c>
      <c r="K38" s="1043" t="s">
        <v>577</v>
      </c>
      <c r="L38" s="1043"/>
      <c r="M38" s="1043"/>
      <c r="N38" s="1043"/>
      <c r="O38" s="1043"/>
      <c r="P38" s="365"/>
      <c r="Q38" s="414"/>
    </row>
    <row r="39" spans="1:17">
      <c r="A39" t="s">
        <v>236</v>
      </c>
    </row>
    <row r="40" spans="1:17" ht="45">
      <c r="B40" s="2" t="s">
        <v>38</v>
      </c>
      <c r="C40" s="2" t="s">
        <v>443</v>
      </c>
      <c r="D40" s="2" t="s">
        <v>39</v>
      </c>
      <c r="E40" s="2" t="s">
        <v>40</v>
      </c>
      <c r="F40" s="2" t="s">
        <v>41</v>
      </c>
      <c r="G40" s="2" t="s">
        <v>42</v>
      </c>
      <c r="H40" s="422" t="s">
        <v>43</v>
      </c>
      <c r="I40" s="2" t="s">
        <v>44</v>
      </c>
      <c r="J40" s="2" t="s">
        <v>45</v>
      </c>
      <c r="K40" s="2" t="s">
        <v>46</v>
      </c>
      <c r="L40" s="2" t="s">
        <v>47</v>
      </c>
      <c r="M40" s="422" t="s">
        <v>48</v>
      </c>
      <c r="N40" s="422" t="s">
        <v>49</v>
      </c>
    </row>
    <row r="41" spans="1:17">
      <c r="A41" t="s">
        <v>12</v>
      </c>
      <c r="B41" s="9">
        <f>(24338.14/12*13)+(99.74*13)</f>
        <v>27662.938333333332</v>
      </c>
      <c r="C41" s="9">
        <f>15.21*13</f>
        <v>197.73000000000002</v>
      </c>
      <c r="D41" s="9"/>
      <c r="E41" s="9"/>
      <c r="F41" s="9">
        <f>833.01*13</f>
        <v>10829.13</v>
      </c>
      <c r="G41" s="9">
        <v>1627.13</v>
      </c>
      <c r="H41" s="27">
        <f>SUM(B41:G41)</f>
        <v>40316.92833333333</v>
      </c>
      <c r="I41" s="28">
        <f>H41*23.8%</f>
        <v>9595.4289433333324</v>
      </c>
      <c r="J41" s="9">
        <f>(H41-F41)*2.88%</f>
        <v>849.24859199999992</v>
      </c>
      <c r="K41" s="28">
        <f>H41*0.5%</f>
        <v>201.58464166666664</v>
      </c>
      <c r="L41" s="28">
        <f>H41*8.5%</f>
        <v>3426.9389083333331</v>
      </c>
      <c r="M41" s="29">
        <f>SUM(I41:L41)</f>
        <v>14073.201085333332</v>
      </c>
      <c r="N41" s="29">
        <f>H41+M41</f>
        <v>54390.129418666664</v>
      </c>
    </row>
    <row r="43" spans="1:17">
      <c r="A43" t="s">
        <v>16</v>
      </c>
      <c r="B43" s="9">
        <f>(17244.71/12*13)</f>
        <v>18681.769166666665</v>
      </c>
      <c r="C43" s="9">
        <f>11.56*13</f>
        <v>150.28</v>
      </c>
      <c r="D43" s="9">
        <v>125</v>
      </c>
      <c r="E43" s="9"/>
      <c r="F43" s="9"/>
      <c r="G43" s="9">
        <f>236828.59/((80+79)/2)</f>
        <v>2978.9759748427673</v>
      </c>
      <c r="H43" s="27">
        <f>SUM(B43:G43)</f>
        <v>21936.025141509432</v>
      </c>
      <c r="I43" s="28">
        <f>H43*23.8%</f>
        <v>5220.7739836792452</v>
      </c>
      <c r="J43" s="9">
        <f>(H43-F43-G43)*2.88%</f>
        <v>545.96301599999993</v>
      </c>
      <c r="K43" s="28">
        <f>H43*2.3%</f>
        <v>504.52857825471693</v>
      </c>
      <c r="L43" s="28">
        <f>H43*8.5%</f>
        <v>1864.5621370283018</v>
      </c>
      <c r="M43" s="29">
        <f>SUM(I43:L43)</f>
        <v>8135.8277149622636</v>
      </c>
      <c r="N43" s="29">
        <f>H43+M43</f>
        <v>30071.852856471694</v>
      </c>
    </row>
    <row r="45" spans="1:17">
      <c r="A45" t="s">
        <v>19</v>
      </c>
      <c r="B45" s="9">
        <f>19454.15/12*13</f>
        <v>21075.32916666667</v>
      </c>
      <c r="C45" s="9">
        <f>13.2*13</f>
        <v>171.6</v>
      </c>
      <c r="D45" s="9"/>
      <c r="E45" s="9">
        <v>1110.8399999999999</v>
      </c>
      <c r="F45" s="9"/>
      <c r="G45" s="9">
        <f>242649.66/((79+77)/2)</f>
        <v>3110.8930769230769</v>
      </c>
      <c r="H45" s="27">
        <f>SUM(B45:G45)</f>
        <v>25468.662243589744</v>
      </c>
      <c r="I45" s="28">
        <f>H45*23.8%</f>
        <v>6061.5416139743593</v>
      </c>
      <c r="J45" s="9">
        <f>(H45-E45-F45-G45)*2.88%</f>
        <v>611.91156000000001</v>
      </c>
      <c r="K45" s="28">
        <f>H45*0.9%</f>
        <v>229.21796019230771</v>
      </c>
      <c r="L45" s="28">
        <f>H45*8.5%</f>
        <v>2164.8362907051282</v>
      </c>
      <c r="M45" s="29">
        <f>SUM(I45:L45)</f>
        <v>9067.5074248717956</v>
      </c>
      <c r="N45" s="29">
        <f>H45+M45</f>
        <v>34536.169668461538</v>
      </c>
    </row>
    <row r="47" spans="1:17">
      <c r="A47" t="s">
        <v>23</v>
      </c>
      <c r="B47" s="9">
        <f>17244.71/12*13</f>
        <v>18681.769166666665</v>
      </c>
      <c r="C47" s="9">
        <f>11.56*13</f>
        <v>150.28</v>
      </c>
      <c r="D47" s="9"/>
      <c r="E47" s="9"/>
      <c r="F47" s="9"/>
      <c r="G47" s="9">
        <f>242649.66/((79+77)/2)</f>
        <v>3110.8930769230769</v>
      </c>
      <c r="H47" s="27">
        <f>SUM(B47:G47)</f>
        <v>21942.94224358974</v>
      </c>
      <c r="I47" s="28">
        <f>H47*23.8%</f>
        <v>5222.4202539743583</v>
      </c>
      <c r="J47" s="9">
        <f>(H47-F47-G47)*2.88%</f>
        <v>542.3630159999999</v>
      </c>
      <c r="K47" s="28">
        <f>H47*2.3%</f>
        <v>504.68767160256402</v>
      </c>
      <c r="L47" s="28">
        <f>H47*8.5%</f>
        <v>1865.1500907051279</v>
      </c>
      <c r="M47" s="29">
        <f>SUM(I47:L47)</f>
        <v>8134.6210322820507</v>
      </c>
      <c r="N47" s="29">
        <f>H47+M47</f>
        <v>30077.563275871791</v>
      </c>
    </row>
    <row r="49" spans="1:14" ht="15.75" thickBot="1">
      <c r="A49" s="30" t="s">
        <v>25</v>
      </c>
      <c r="B49" s="31">
        <f>(18763.67)+((16.03+9.23)*13)</f>
        <v>19092.05</v>
      </c>
      <c r="C49" s="31">
        <f>11.96*13</f>
        <v>155.48000000000002</v>
      </c>
      <c r="D49" s="31"/>
      <c r="E49" s="31"/>
      <c r="F49" s="31"/>
      <c r="G49" s="31">
        <f>242649.66/((77+77)/2)</f>
        <v>3151.2942857142857</v>
      </c>
      <c r="H49" s="32">
        <f>SUM(B49:G49)</f>
        <v>22398.824285714283</v>
      </c>
      <c r="I49" s="33">
        <f>H49*23.8%</f>
        <v>5330.9201800000001</v>
      </c>
      <c r="J49" s="31">
        <f>(H49-F49-G49)*2.88%</f>
        <v>554.32886399999995</v>
      </c>
      <c r="K49" s="33">
        <f>H49*2.3%</f>
        <v>515.17295857142847</v>
      </c>
      <c r="L49" s="33">
        <f>H49*8.5%</f>
        <v>1903.9000642857143</v>
      </c>
      <c r="M49" s="34">
        <f>SUM(I49:L49)</f>
        <v>8304.322066857143</v>
      </c>
      <c r="N49" s="34">
        <f>H49+M49</f>
        <v>30703.146352571428</v>
      </c>
    </row>
    <row r="50" spans="1:14" ht="15.75" thickTop="1">
      <c r="B50" s="35"/>
      <c r="C50" s="35"/>
      <c r="D50" s="35"/>
      <c r="E50" s="35"/>
      <c r="F50" s="35"/>
      <c r="G50" s="35"/>
      <c r="H50" s="36">
        <f t="shared" ref="H50:M50" si="6">SUM(H41:H49)</f>
        <v>132063.38224773653</v>
      </c>
      <c r="I50" s="35"/>
      <c r="J50" s="35"/>
      <c r="K50" s="35"/>
      <c r="L50" s="35"/>
      <c r="M50" s="36">
        <f t="shared" si="6"/>
        <v>47715.479324306587</v>
      </c>
      <c r="N50" s="36">
        <f>SUM(N41:N49)</f>
        <v>179778.86157204313</v>
      </c>
    </row>
    <row r="51" spans="1:14">
      <c r="A51" t="s">
        <v>237</v>
      </c>
      <c r="B51" s="9"/>
      <c r="C51" s="9"/>
      <c r="D51" s="9"/>
      <c r="E51" s="9"/>
      <c r="F51" s="9"/>
      <c r="G51" s="9"/>
      <c r="H51" s="27"/>
      <c r="I51" s="28"/>
      <c r="J51" s="9"/>
      <c r="K51" s="28"/>
      <c r="L51" s="28"/>
      <c r="M51" s="29"/>
      <c r="N51" s="29"/>
    </row>
    <row r="52" spans="1:14">
      <c r="A52" t="s">
        <v>27</v>
      </c>
      <c r="B52" s="423">
        <v>21354.83</v>
      </c>
      <c r="C52" s="9">
        <f>13.69*13</f>
        <v>177.97</v>
      </c>
      <c r="D52" s="9"/>
      <c r="E52" s="9"/>
      <c r="F52" s="9"/>
      <c r="G52" s="37">
        <f>243273.87/((77+73)/2)</f>
        <v>3243.6516000000001</v>
      </c>
      <c r="H52" s="27">
        <f>SUM(B52:G52)</f>
        <v>24776.451600000004</v>
      </c>
      <c r="I52" s="28">
        <f>H52*23.8%</f>
        <v>5896.7954808000013</v>
      </c>
      <c r="J52" s="9">
        <f>(H52-E52-F52-G52)*2.88%</f>
        <v>620.14464000000009</v>
      </c>
      <c r="K52" s="28">
        <f>H52*0.5%</f>
        <v>123.88225800000002</v>
      </c>
      <c r="L52" s="28">
        <f>H52*8.5%</f>
        <v>2105.9983860000007</v>
      </c>
      <c r="M52" s="29">
        <f>SUM(I52:L52)</f>
        <v>8746.8207648000025</v>
      </c>
      <c r="N52" s="29">
        <f>H52+M52</f>
        <v>33523.27236480001</v>
      </c>
    </row>
    <row r="53" spans="1:14">
      <c r="B53" s="9"/>
      <c r="C53" s="9"/>
      <c r="D53" s="9"/>
      <c r="E53" s="9"/>
      <c r="F53" s="9"/>
      <c r="G53" s="9"/>
      <c r="H53" s="27"/>
      <c r="I53" s="28"/>
      <c r="J53" s="9"/>
      <c r="K53" s="28"/>
      <c r="L53" s="28"/>
      <c r="M53" s="29"/>
      <c r="N53" s="29"/>
    </row>
    <row r="54" spans="1:14">
      <c r="A54" t="s">
        <v>50</v>
      </c>
      <c r="B54" s="9">
        <v>18930.07</v>
      </c>
      <c r="C54" s="9">
        <f>11.56*13</f>
        <v>150.28</v>
      </c>
      <c r="D54" s="9">
        <v>125</v>
      </c>
      <c r="E54" s="9"/>
      <c r="F54" s="9"/>
      <c r="G54" s="37">
        <f>243273.87/((77+73)/2)</f>
        <v>3243.6516000000001</v>
      </c>
      <c r="H54" s="27">
        <f>SUM(B54:G54)</f>
        <v>22449.0016</v>
      </c>
      <c r="I54" s="28">
        <f>H54*23.8%</f>
        <v>5342.8623808000002</v>
      </c>
      <c r="J54" s="9">
        <f>(H54-F54-G54)*2.88%</f>
        <v>553.11407999999994</v>
      </c>
      <c r="K54" s="28">
        <f>H54*1.4%</f>
        <v>314.28602239999998</v>
      </c>
      <c r="L54" s="28">
        <f>H54*8.5%</f>
        <v>1908.1651360000001</v>
      </c>
      <c r="M54" s="29">
        <f>SUM(I54:L54)</f>
        <v>8118.4276191999998</v>
      </c>
      <c r="N54" s="29">
        <f>H54+M54</f>
        <v>30567.429219199999</v>
      </c>
    </row>
    <row r="55" spans="1:14">
      <c r="B55" s="9"/>
      <c r="C55" s="9"/>
      <c r="D55" s="9"/>
      <c r="E55" s="9"/>
      <c r="F55" s="9"/>
      <c r="G55" s="9"/>
      <c r="H55" s="27"/>
      <c r="I55" s="28"/>
      <c r="J55" s="9"/>
      <c r="K55" s="28"/>
      <c r="L55" s="28"/>
      <c r="M55" s="29"/>
      <c r="N55" s="29"/>
    </row>
    <row r="56" spans="1:14">
      <c r="A56" t="s">
        <v>51</v>
      </c>
      <c r="B56" s="9">
        <v>18930.07</v>
      </c>
      <c r="C56" s="9">
        <f>11.96*13</f>
        <v>155.48000000000002</v>
      </c>
      <c r="D56" s="9">
        <v>125</v>
      </c>
      <c r="E56" s="9"/>
      <c r="F56" s="9"/>
      <c r="G56" s="37">
        <f>243273.87/((77+73)/2)</f>
        <v>3243.6516000000001</v>
      </c>
      <c r="H56" s="27">
        <f>SUM(B56:G56)</f>
        <v>22454.2016</v>
      </c>
      <c r="I56" s="28">
        <f>H56*23.8%</f>
        <v>5344.0999808000006</v>
      </c>
      <c r="J56" s="9">
        <f>(H56-F56-G56)*2.88%</f>
        <v>553.26383999999996</v>
      </c>
      <c r="K56" s="28">
        <f>H56*2.3%</f>
        <v>516.44663679999996</v>
      </c>
      <c r="L56" s="28">
        <f>H56*8.5%</f>
        <v>1908.6071360000001</v>
      </c>
      <c r="M56" s="29">
        <f>SUM(I56:L56)</f>
        <v>8322.4175936000011</v>
      </c>
      <c r="N56" s="29">
        <f>H56+M56</f>
        <v>30776.619193600003</v>
      </c>
    </row>
    <row r="57" spans="1:14">
      <c r="B57" s="9"/>
      <c r="C57" s="9"/>
      <c r="D57" s="9"/>
      <c r="E57" s="9"/>
      <c r="F57" s="9"/>
      <c r="G57" s="9"/>
      <c r="H57" s="27"/>
      <c r="I57" s="28"/>
      <c r="J57" s="9"/>
      <c r="K57" s="28"/>
      <c r="L57" s="28"/>
      <c r="M57" s="29"/>
      <c r="N57" s="29"/>
    </row>
    <row r="58" spans="1:14" ht="15.75" thickBot="1">
      <c r="A58" s="30" t="s">
        <v>37</v>
      </c>
      <c r="B58" s="423">
        <v>21354.83</v>
      </c>
      <c r="C58" s="31">
        <f>13.69*13</f>
        <v>177.97</v>
      </c>
      <c r="D58" s="31"/>
      <c r="E58" s="31">
        <f>619.8+805.67-960.66</f>
        <v>464.80999999999983</v>
      </c>
      <c r="F58" s="31"/>
      <c r="G58" s="38">
        <f>243273.87/((77+73)/2)</f>
        <v>3243.6516000000001</v>
      </c>
      <c r="H58" s="32">
        <f>SUM(B58:G58)</f>
        <v>25241.261600000005</v>
      </c>
      <c r="I58" s="33">
        <f>H58*23.8%</f>
        <v>6007.4202608000014</v>
      </c>
      <c r="J58" s="31">
        <f>(H58-E58-F58-G58)*2.88%</f>
        <v>620.14464000000009</v>
      </c>
      <c r="K58" s="33">
        <f>H58*2.3%</f>
        <v>580.54901680000012</v>
      </c>
      <c r="L58" s="33">
        <f>H58*8.5%</f>
        <v>2145.5072360000004</v>
      </c>
      <c r="M58" s="34">
        <f>SUM(I58:L58)</f>
        <v>9353.621153600001</v>
      </c>
      <c r="N58" s="34">
        <f>H58+M58</f>
        <v>34594.882753600003</v>
      </c>
    </row>
    <row r="59" spans="1:14" ht="15.75" thickTop="1">
      <c r="B59" s="9"/>
      <c r="C59" s="9"/>
      <c r="D59" s="9"/>
      <c r="E59" s="9"/>
      <c r="F59" s="9"/>
      <c r="G59" s="9"/>
      <c r="H59" s="39">
        <f>SUM(H52:H58)</f>
        <v>94920.916400000016</v>
      </c>
      <c r="I59" s="28"/>
      <c r="J59" s="9"/>
      <c r="K59" s="28"/>
      <c r="L59" s="28"/>
      <c r="M59" s="39">
        <f t="shared" ref="M59:N59" si="7">SUM(M52:M58)</f>
        <v>34541.287131200006</v>
      </c>
      <c r="N59" s="40">
        <f t="shared" si="7"/>
        <v>129462.20353120002</v>
      </c>
    </row>
    <row r="60" spans="1:14">
      <c r="A60" t="s">
        <v>238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60.75" thickBot="1">
      <c r="A61" s="424" t="s">
        <v>444</v>
      </c>
      <c r="B61" s="42">
        <f>2109.68*13</f>
        <v>27425.839999999997</v>
      </c>
      <c r="C61" s="42">
        <f>15.21*3+60</f>
        <v>105.63</v>
      </c>
      <c r="D61" s="42"/>
      <c r="E61" s="42"/>
      <c r="F61" s="42"/>
      <c r="G61" s="42">
        <f>248793.6/((69+71)/2)</f>
        <v>3554.1942857142858</v>
      </c>
      <c r="H61" s="43">
        <f>SUM(B61:G61)</f>
        <v>31085.664285714283</v>
      </c>
      <c r="I61" s="44">
        <f>H61*23.8%</f>
        <v>7398.3881000000001</v>
      </c>
      <c r="J61" s="42">
        <f>(H61-F61)*2.88%</f>
        <v>895.26713142857136</v>
      </c>
      <c r="K61" s="44">
        <f>H61*0.5%</f>
        <v>155.42832142857142</v>
      </c>
      <c r="L61" s="44">
        <f>H61*8.5%</f>
        <v>2642.2814642857143</v>
      </c>
      <c r="M61" s="45">
        <f>SUM(I61:L61)</f>
        <v>11091.365017142856</v>
      </c>
      <c r="N61" s="45">
        <f>H61+M61</f>
        <v>42177.02930285714</v>
      </c>
    </row>
    <row r="62" spans="1:14" ht="15.75" thickTop="1">
      <c r="B62" s="42"/>
    </row>
    <row r="63" spans="1:14" ht="45.75" thickBot="1">
      <c r="A63" s="424" t="s">
        <v>239</v>
      </c>
      <c r="B63" s="42">
        <f>1686.3*13*50%</f>
        <v>10960.949999999999</v>
      </c>
      <c r="C63" s="42">
        <f>12.16*3*0.5+170/2</f>
        <v>103.24000000000001</v>
      </c>
      <c r="D63" s="42"/>
      <c r="E63" s="42"/>
      <c r="F63" s="42"/>
      <c r="G63" s="42">
        <f>248793.6/((69+71)/2)</f>
        <v>3554.1942857142858</v>
      </c>
      <c r="H63" s="43">
        <f>SUM(B63:G63)</f>
        <v>14618.384285714284</v>
      </c>
      <c r="I63" s="44">
        <f>H63*23.8%</f>
        <v>3479.1754599999999</v>
      </c>
      <c r="J63" s="42">
        <f>(H63-E63-F63-G63)*2.88%</f>
        <v>318.64867199999998</v>
      </c>
      <c r="K63" s="44">
        <f>H63*0.5%</f>
        <v>73.091921428571425</v>
      </c>
      <c r="L63" s="44">
        <f>H63*8.5%</f>
        <v>1242.5626642857142</v>
      </c>
      <c r="M63" s="45">
        <f>SUM(I63:L63)</f>
        <v>5113.4787177142853</v>
      </c>
      <c r="N63" s="45">
        <f>H63+M63</f>
        <v>19731.863003428571</v>
      </c>
    </row>
    <row r="64" spans="1:14" ht="15.75" thickTop="1">
      <c r="A64" s="358"/>
      <c r="B64" s="42"/>
      <c r="C64" s="42"/>
      <c r="D64" s="42"/>
      <c r="E64" s="42"/>
      <c r="F64" s="42"/>
      <c r="G64" s="42"/>
      <c r="H64" s="43"/>
      <c r="I64" s="44"/>
      <c r="J64" s="42"/>
      <c r="K64" s="44"/>
      <c r="L64" s="44"/>
      <c r="M64" s="45"/>
      <c r="N64" s="45"/>
    </row>
    <row r="65" spans="1:14" ht="45.75" thickBot="1">
      <c r="A65" s="424" t="s">
        <v>225</v>
      </c>
      <c r="B65" s="42">
        <f>1494.83*13</f>
        <v>19432.79</v>
      </c>
      <c r="C65" s="42">
        <f>11.96*3+230</f>
        <v>265.88</v>
      </c>
      <c r="D65" s="42">
        <f>+(5.38*12)</f>
        <v>64.56</v>
      </c>
      <c r="E65" s="42"/>
      <c r="F65" s="42"/>
      <c r="G65" s="42">
        <f>248793.6/((69+71)/2)</f>
        <v>3554.1942857142858</v>
      </c>
      <c r="H65" s="43">
        <f>SUM(B65:G65)</f>
        <v>23317.424285714289</v>
      </c>
      <c r="I65" s="44">
        <f t="shared" ref="I65:I72" si="8">H65*23.8%</f>
        <v>5549.546980000001</v>
      </c>
      <c r="J65" s="42">
        <f t="shared" ref="J65" si="9">(H65-E65-F65-G65)*2.88%</f>
        <v>569.18102400000009</v>
      </c>
      <c r="K65" s="44">
        <f t="shared" ref="K65" si="10">H65*0.5%</f>
        <v>116.58712142857145</v>
      </c>
      <c r="L65" s="44">
        <f t="shared" ref="L65" si="11">H65*8.5%</f>
        <v>1981.9810642857146</v>
      </c>
      <c r="M65" s="45">
        <f t="shared" ref="M65" si="12">SUM(I65:L65)</f>
        <v>8217.2961897142886</v>
      </c>
      <c r="N65" s="45">
        <f>H65+M65</f>
        <v>31534.720475428578</v>
      </c>
    </row>
    <row r="66" spans="1:14" ht="15.75" thickTop="1">
      <c r="B66" s="42"/>
      <c r="C66" s="42"/>
      <c r="D66" s="42"/>
      <c r="E66" s="42"/>
      <c r="F66" s="42"/>
      <c r="G66" s="42"/>
      <c r="H66" s="43"/>
      <c r="I66" s="44"/>
      <c r="J66" s="42"/>
      <c r="K66" s="44"/>
      <c r="L66" s="44"/>
      <c r="M66" s="45"/>
      <c r="N66" s="45"/>
    </row>
    <row r="67" spans="1:14">
      <c r="A67" t="s">
        <v>347</v>
      </c>
      <c r="H67" s="43"/>
      <c r="I67" s="44"/>
      <c r="J67" s="42"/>
      <c r="K67" s="44"/>
      <c r="L67" s="44"/>
      <c r="M67" s="45"/>
      <c r="N67" s="29">
        <f>SUM(N61:N66)</f>
        <v>93443.612781714284</v>
      </c>
    </row>
    <row r="68" spans="1:14" ht="30">
      <c r="A68" s="46" t="s">
        <v>442</v>
      </c>
      <c r="B68" s="9">
        <v>20652.449999999997</v>
      </c>
      <c r="C68" s="9">
        <f>81.98+248.4</f>
        <v>330.38</v>
      </c>
      <c r="D68" s="9"/>
      <c r="E68" s="9"/>
      <c r="F68" s="9"/>
      <c r="G68" s="9">
        <f>260158.04/((70+70)/2)</f>
        <v>3716.5434285714286</v>
      </c>
      <c r="H68" s="43">
        <f t="shared" ref="H68:H75" si="13">SUM(B68:G68)</f>
        <v>24699.373428571427</v>
      </c>
      <c r="I68" s="44">
        <f t="shared" si="8"/>
        <v>5878.4508759999999</v>
      </c>
      <c r="J68" s="42">
        <f t="shared" ref="J68:J72" si="14">(H68-E68-F68-G68)*2.88%</f>
        <v>604.30550399999993</v>
      </c>
      <c r="K68" s="44">
        <f t="shared" ref="K68:K72" si="15">H68*0.5%</f>
        <v>123.49686714285714</v>
      </c>
      <c r="L68" s="44">
        <f t="shared" ref="L68:L72" si="16">H68*8.5%</f>
        <v>2099.4467414285714</v>
      </c>
      <c r="M68" s="45">
        <f>SUM(I68:L68)</f>
        <v>8705.6999885714285</v>
      </c>
      <c r="N68" s="9">
        <f>H68+M68</f>
        <v>33405.073417142856</v>
      </c>
    </row>
    <row r="69" spans="1:14">
      <c r="B69" s="9"/>
      <c r="C69" s="9"/>
      <c r="D69" s="9"/>
      <c r="E69" s="9"/>
      <c r="F69" s="9"/>
      <c r="G69" s="9"/>
      <c r="H69" s="43"/>
      <c r="I69" s="44"/>
      <c r="J69" s="42"/>
      <c r="K69" s="44"/>
      <c r="L69" s="44"/>
      <c r="M69" s="45"/>
      <c r="N69" s="9"/>
    </row>
    <row r="70" spans="1:14" ht="30">
      <c r="A70" s="46" t="s">
        <v>445</v>
      </c>
      <c r="B70" s="9">
        <f>1695.34*13</f>
        <v>22039.42</v>
      </c>
      <c r="C70" s="9">
        <f>276+92.57</f>
        <v>368.57</v>
      </c>
      <c r="D70" s="9"/>
      <c r="E70" s="9">
        <f>65.03*12</f>
        <v>780.36</v>
      </c>
      <c r="F70" s="9"/>
      <c r="G70" s="9">
        <f>G68</f>
        <v>3716.5434285714286</v>
      </c>
      <c r="H70" s="43">
        <f t="shared" si="13"/>
        <v>26904.893428571428</v>
      </c>
      <c r="I70" s="44">
        <f t="shared" si="8"/>
        <v>6403.3646360000002</v>
      </c>
      <c r="J70" s="42">
        <f t="shared" si="14"/>
        <v>645.35011199999997</v>
      </c>
      <c r="K70" s="44">
        <f t="shared" si="15"/>
        <v>134.52446714285713</v>
      </c>
      <c r="L70" s="44">
        <f t="shared" si="16"/>
        <v>2286.9159414285714</v>
      </c>
      <c r="M70" s="45">
        <f t="shared" ref="M70:M72" si="17">SUM(I70:L70)</f>
        <v>9470.155156571429</v>
      </c>
      <c r="N70" s="9">
        <f>H70+M70</f>
        <v>36375.048585142853</v>
      </c>
    </row>
    <row r="71" spans="1:14">
      <c r="B71" s="9"/>
      <c r="C71" s="9"/>
      <c r="D71" s="9"/>
      <c r="E71" s="9"/>
      <c r="F71" s="9"/>
      <c r="G71" s="9"/>
      <c r="H71" s="43"/>
      <c r="I71" s="44"/>
      <c r="J71" s="42"/>
      <c r="K71" s="44"/>
      <c r="L71" s="44"/>
      <c r="M71" s="45"/>
      <c r="N71" s="9"/>
    </row>
    <row r="72" spans="1:14" ht="75">
      <c r="A72" s="46" t="s">
        <v>446</v>
      </c>
      <c r="B72" s="9">
        <f>B70</f>
        <v>22039.42</v>
      </c>
      <c r="C72" s="9">
        <f>C70</f>
        <v>368.57</v>
      </c>
      <c r="D72" s="9"/>
      <c r="E72" s="9"/>
      <c r="F72" s="9"/>
      <c r="G72" s="9">
        <f>G70</f>
        <v>3716.5434285714286</v>
      </c>
      <c r="H72" s="43">
        <f t="shared" si="13"/>
        <v>26124.533428571427</v>
      </c>
      <c r="I72" s="44">
        <f t="shared" si="8"/>
        <v>6217.6389559999998</v>
      </c>
      <c r="J72" s="42">
        <f t="shared" si="14"/>
        <v>645.35011199999997</v>
      </c>
      <c r="K72" s="44">
        <f t="shared" si="15"/>
        <v>130.62266714285713</v>
      </c>
      <c r="L72" s="44">
        <f t="shared" si="16"/>
        <v>2220.5853414285716</v>
      </c>
      <c r="M72" s="45">
        <f t="shared" si="17"/>
        <v>9214.1970765714286</v>
      </c>
      <c r="N72" s="9">
        <f>H72+M72</f>
        <v>35338.730505142856</v>
      </c>
    </row>
    <row r="73" spans="1:14">
      <c r="A73" s="46"/>
      <c r="B73" s="9"/>
      <c r="C73" s="9"/>
      <c r="D73" s="9"/>
      <c r="E73" s="9"/>
      <c r="F73" s="9"/>
      <c r="G73" s="9"/>
      <c r="H73" s="43"/>
      <c r="I73" s="44"/>
      <c r="J73" s="42"/>
      <c r="K73" s="44"/>
      <c r="L73" s="44"/>
      <c r="M73" s="45"/>
      <c r="N73" s="537">
        <f>N72+N70+N68</f>
        <v>105118.85250742856</v>
      </c>
    </row>
    <row r="74" spans="1:14">
      <c r="A74" t="s">
        <v>462</v>
      </c>
      <c r="H74" s="43"/>
      <c r="I74" s="44"/>
      <c r="J74" s="42"/>
      <c r="K74" s="44"/>
      <c r="L74" s="44"/>
      <c r="M74" s="45"/>
      <c r="N74" s="9"/>
    </row>
    <row r="75" spans="1:14" ht="30">
      <c r="A75" s="46" t="s">
        <v>463</v>
      </c>
      <c r="B75" s="9">
        <f>B72+33.02*13</f>
        <v>22468.679999999997</v>
      </c>
      <c r="C75">
        <f>154.28+276</f>
        <v>430.28</v>
      </c>
      <c r="G75" s="28">
        <f>G72</f>
        <v>3716.5434285714286</v>
      </c>
      <c r="H75" s="43">
        <f t="shared" si="13"/>
        <v>26615.503428571425</v>
      </c>
      <c r="I75" s="44">
        <f t="shared" ref="I75" si="18">H75*23.8%</f>
        <v>6334.4898159999993</v>
      </c>
      <c r="J75" s="42">
        <f t="shared" ref="J75" si="19">(H75-E75-F75-G75)*2.88%</f>
        <v>659.49004799999989</v>
      </c>
      <c r="K75" s="44">
        <f t="shared" ref="K75" si="20">H75*0.5%</f>
        <v>133.07751714285712</v>
      </c>
      <c r="L75" s="44">
        <f t="shared" ref="L75" si="21">H75*8.5%</f>
        <v>2262.3177914285711</v>
      </c>
      <c r="M75" s="45">
        <f t="shared" ref="M75" si="22">SUM(I75:L75)</f>
        <v>9389.3751725714264</v>
      </c>
      <c r="N75" s="9">
        <f t="shared" ref="N75" si="23">H75+M75</f>
        <v>36004.878601142853</v>
      </c>
    </row>
    <row r="76" spans="1:14">
      <c r="H76" s="43"/>
      <c r="I76" s="44"/>
      <c r="J76" s="42"/>
      <c r="K76" s="44"/>
      <c r="L76" s="44"/>
      <c r="M76" s="45"/>
      <c r="N76" s="9"/>
    </row>
    <row r="77" spans="1:14" ht="30">
      <c r="A77" s="46" t="s">
        <v>467</v>
      </c>
      <c r="B77">
        <f>20652.45/2+17*12+2.31*12</f>
        <v>10557.945</v>
      </c>
      <c r="C77">
        <f>(151.81+276)/2</f>
        <v>213.905</v>
      </c>
      <c r="G77" s="28">
        <f>G75</f>
        <v>3716.5434285714286</v>
      </c>
      <c r="H77" s="43">
        <f>SUM(B77:G77)</f>
        <v>14488.393428571429</v>
      </c>
      <c r="I77" s="44">
        <f t="shared" ref="I77" si="24">H77*23.8%</f>
        <v>3448.2376360000003</v>
      </c>
      <c r="J77" s="42">
        <f>(H77-E77-F77-G77)*2.88%</f>
        <v>310.22928000000002</v>
      </c>
      <c r="K77" s="44">
        <f t="shared" ref="K77" si="25">H77*0.5%</f>
        <v>72.441967142857152</v>
      </c>
      <c r="L77" s="44">
        <f t="shared" ref="L77" si="26">H77*8.5%</f>
        <v>1231.5134414285717</v>
      </c>
      <c r="M77" s="45">
        <f t="shared" ref="M77" si="27">SUM(I77:L77)</f>
        <v>5062.4223245714293</v>
      </c>
      <c r="N77" s="9">
        <f t="shared" ref="N77" si="28">H77+M77</f>
        <v>19550.815753142859</v>
      </c>
    </row>
    <row r="78" spans="1:14" ht="119.25" hidden="1" customHeight="1">
      <c r="A78" s="1038" t="s">
        <v>52</v>
      </c>
      <c r="B78" s="1038"/>
      <c r="C78" s="1041">
        <f>K32</f>
        <v>-1747.3843855722225</v>
      </c>
      <c r="D78" s="1042"/>
      <c r="G78" s="1038" t="s">
        <v>52</v>
      </c>
      <c r="H78" s="1038"/>
      <c r="I78" s="1041">
        <f>C78</f>
        <v>-1747.3843855722225</v>
      </c>
      <c r="J78" s="1042"/>
      <c r="K78" s="420" t="s">
        <v>233</v>
      </c>
      <c r="L78" s="410">
        <f>'PREV2020 '!T253</f>
        <v>118127.48</v>
      </c>
    </row>
    <row r="79" spans="1:14" ht="37.5" hidden="1" customHeight="1">
      <c r="A79" s="1038" t="s">
        <v>53</v>
      </c>
      <c r="B79" s="1038"/>
      <c r="C79" s="1039">
        <f>-N45</f>
        <v>-34536.169668461538</v>
      </c>
      <c r="D79" s="1040"/>
      <c r="G79" s="1038" t="s">
        <v>231</v>
      </c>
      <c r="H79" s="1038"/>
      <c r="I79" s="1039">
        <f>-N102</f>
        <v>-36601.911204000004</v>
      </c>
      <c r="J79" s="1040"/>
      <c r="K79" s="420" t="s">
        <v>231</v>
      </c>
      <c r="L79" s="411">
        <f>-N102</f>
        <v>-36601.911204000004</v>
      </c>
    </row>
    <row r="80" spans="1:14" ht="56.25" hidden="1" customHeight="1">
      <c r="A80" s="1038" t="s">
        <v>53</v>
      </c>
      <c r="B80" s="1038"/>
      <c r="C80" s="1039">
        <f>-N45</f>
        <v>-34536.169668461538</v>
      </c>
      <c r="D80" s="1040"/>
      <c r="G80" s="1038" t="s">
        <v>228</v>
      </c>
      <c r="H80" s="1038"/>
      <c r="I80" s="1039">
        <f>-N110</f>
        <v>-37606.024713142862</v>
      </c>
      <c r="J80" s="1040"/>
      <c r="K80" s="420" t="s">
        <v>228</v>
      </c>
      <c r="L80" s="411">
        <f>-N110</f>
        <v>-37606.024713142862</v>
      </c>
    </row>
    <row r="81" spans="1:14" ht="67.5" hidden="1" customHeight="1">
      <c r="A81" s="1038" t="s">
        <v>54</v>
      </c>
      <c r="B81" s="1038"/>
      <c r="C81" s="1039">
        <f>-F10</f>
        <v>-30703.146352571428</v>
      </c>
      <c r="D81" s="1040"/>
      <c r="F81" s="28"/>
      <c r="G81" s="1038" t="s">
        <v>229</v>
      </c>
      <c r="H81" s="1038"/>
      <c r="I81" s="1039" t="e">
        <f>-#REF!</f>
        <v>#REF!</v>
      </c>
      <c r="J81" s="1040"/>
      <c r="K81" s="420" t="s">
        <v>234</v>
      </c>
      <c r="L81" s="411" t="e">
        <f>-#REF!*70%</f>
        <v>#REF!</v>
      </c>
      <c r="M81" s="409"/>
    </row>
    <row r="82" spans="1:14" hidden="1">
      <c r="A82" s="1038" t="s">
        <v>54</v>
      </c>
      <c r="B82" s="1038"/>
      <c r="C82" s="1039">
        <f>-F10</f>
        <v>-30703.146352571428</v>
      </c>
      <c r="D82" s="1040"/>
      <c r="G82" s="1044" t="s">
        <v>55</v>
      </c>
      <c r="H82" s="1044"/>
      <c r="I82" s="1045" t="e">
        <f>SUM(I78:I81)</f>
        <v>#REF!</v>
      </c>
      <c r="J82" s="1046"/>
      <c r="L82" s="412" t="e">
        <f>SUM(L78:L81)</f>
        <v>#REF!</v>
      </c>
      <c r="M82" s="413"/>
      <c r="N82" s="364"/>
    </row>
    <row r="83" spans="1:14" hidden="1">
      <c r="A83" s="1044" t="s">
        <v>55</v>
      </c>
      <c r="B83" s="1044"/>
      <c r="C83" s="1045">
        <f>SUM(C78:C82)</f>
        <v>-132226.01642763815</v>
      </c>
      <c r="D83" s="1046"/>
      <c r="L83" s="409"/>
      <c r="M83" s="409"/>
    </row>
    <row r="84" spans="1:14" hidden="1"/>
    <row r="85" spans="1:14" hidden="1">
      <c r="A85" s="1038" t="s">
        <v>52</v>
      </c>
      <c r="B85" s="1038"/>
      <c r="C85" s="1041">
        <f>K32</f>
        <v>-1747.3843855722225</v>
      </c>
      <c r="D85" s="1042"/>
    </row>
    <row r="86" spans="1:14" hidden="1">
      <c r="A86" s="1038" t="s">
        <v>53</v>
      </c>
      <c r="B86" s="1038"/>
      <c r="C86" s="1039">
        <f>-N45</f>
        <v>-34536.169668461538</v>
      </c>
      <c r="D86" s="1040"/>
    </row>
    <row r="87" spans="1:14" hidden="1">
      <c r="A87" s="1038" t="s">
        <v>53</v>
      </c>
      <c r="B87" s="1038"/>
      <c r="C87" s="1039">
        <f>-N45</f>
        <v>-34536.169668461538</v>
      </c>
      <c r="D87" s="1040"/>
    </row>
    <row r="88" spans="1:14" hidden="1">
      <c r="A88" s="1044" t="s">
        <v>55</v>
      </c>
      <c r="B88" s="1044"/>
      <c r="C88" s="1045">
        <f>SUM(C85:C87)</f>
        <v>-70819.723722495299</v>
      </c>
      <c r="D88" s="1046"/>
    </row>
    <row r="89" spans="1:14">
      <c r="N89" s="537">
        <f>N75+N77</f>
        <v>55555.694354285712</v>
      </c>
    </row>
    <row r="90" spans="1:14">
      <c r="A90" s="41" t="s">
        <v>246</v>
      </c>
    </row>
    <row r="91" spans="1:14" ht="45">
      <c r="B91" s="2" t="s">
        <v>38</v>
      </c>
      <c r="C91" s="2" t="s">
        <v>443</v>
      </c>
      <c r="D91" s="2" t="s">
        <v>39</v>
      </c>
      <c r="E91" s="2" t="s">
        <v>40</v>
      </c>
      <c r="F91" s="2" t="s">
        <v>41</v>
      </c>
      <c r="G91" s="2" t="s">
        <v>42</v>
      </c>
      <c r="H91" s="422" t="s">
        <v>43</v>
      </c>
      <c r="I91" s="2" t="s">
        <v>44</v>
      </c>
      <c r="J91" s="2" t="s">
        <v>45</v>
      </c>
      <c r="K91" s="2" t="s">
        <v>46</v>
      </c>
      <c r="L91" s="2" t="s">
        <v>47</v>
      </c>
      <c r="M91" s="422" t="s">
        <v>48</v>
      </c>
      <c r="N91" s="422" t="s">
        <v>49</v>
      </c>
    </row>
    <row r="92" spans="1:14" ht="16.5" thickBot="1">
      <c r="A92" s="47" t="s">
        <v>247</v>
      </c>
      <c r="B92" s="423">
        <v>18930.07</v>
      </c>
      <c r="C92" s="201">
        <f>10.78*13</f>
        <v>140.13999999999999</v>
      </c>
      <c r="D92" s="199">
        <f>5.38*12</f>
        <v>64.56</v>
      </c>
      <c r="E92" s="9"/>
      <c r="F92" s="9"/>
      <c r="G92" s="42">
        <f>G58</f>
        <v>3243.6516000000001</v>
      </c>
      <c r="H92" s="27">
        <f>SUM(B92:G92)</f>
        <v>22378.421600000001</v>
      </c>
      <c r="I92" s="28">
        <f>H92*23.8%</f>
        <v>5326.0643408000005</v>
      </c>
      <c r="J92" s="9">
        <f>(H92-F92)*2.88%</f>
        <v>644.49854207999999</v>
      </c>
      <c r="K92" s="28">
        <f>H92*2.3%</f>
        <v>514.70369679999999</v>
      </c>
      <c r="L92" s="28">
        <f>H92*8.5%</f>
        <v>1902.1658360000004</v>
      </c>
      <c r="M92" s="29">
        <f>SUM(I92:L92)</f>
        <v>8387.4324156800012</v>
      </c>
      <c r="N92" s="29">
        <f>H92+M92</f>
        <v>30765.854015680001</v>
      </c>
    </row>
    <row r="93" spans="1:14" ht="15.75" thickTop="1"/>
    <row r="96" spans="1:14">
      <c r="A96" s="41" t="s">
        <v>56</v>
      </c>
    </row>
    <row r="98" spans="1:20" ht="45">
      <c r="B98" s="2" t="s">
        <v>38</v>
      </c>
      <c r="C98" s="2" t="s">
        <v>443</v>
      </c>
      <c r="D98" s="2" t="s">
        <v>39</v>
      </c>
      <c r="E98" s="2" t="s">
        <v>40</v>
      </c>
      <c r="F98" s="2" t="s">
        <v>41</v>
      </c>
      <c r="G98" s="2" t="s">
        <v>42</v>
      </c>
      <c r="H98" s="422" t="s">
        <v>43</v>
      </c>
      <c r="I98" s="2" t="s">
        <v>44</v>
      </c>
      <c r="J98" s="2" t="s">
        <v>45</v>
      </c>
      <c r="K98" s="2" t="s">
        <v>46</v>
      </c>
      <c r="L98" s="2" t="s">
        <v>47</v>
      </c>
      <c r="M98" s="422" t="s">
        <v>48</v>
      </c>
      <c r="N98" s="422" t="s">
        <v>49</v>
      </c>
    </row>
    <row r="99" spans="1:20" ht="30">
      <c r="A99" s="47" t="s">
        <v>241</v>
      </c>
      <c r="B99" s="9">
        <v>21921.93</v>
      </c>
      <c r="C99" s="201">
        <f>12.16*3</f>
        <v>36.480000000000004</v>
      </c>
      <c r="D99" s="9"/>
      <c r="E99" s="9"/>
      <c r="F99" s="9"/>
      <c r="G99" s="42">
        <f>248793.6/((69+71)/2)</f>
        <v>3554.1942857142858</v>
      </c>
      <c r="H99" s="27">
        <f>SUM(B99:G99)</f>
        <v>25512.604285714286</v>
      </c>
      <c r="I99" s="28">
        <f>H99*23.8%</f>
        <v>6071.99982</v>
      </c>
      <c r="J99" s="9">
        <f>(H99-F99)*2.88%</f>
        <v>734.76300342857144</v>
      </c>
      <c r="K99" s="28">
        <f>H99*2.3%</f>
        <v>586.78989857142858</v>
      </c>
      <c r="L99" s="28">
        <f>H99*8.5%</f>
        <v>2168.5713642857145</v>
      </c>
      <c r="M99" s="29">
        <f>SUM(I99:L99)</f>
        <v>9562.1240862857139</v>
      </c>
      <c r="N99" s="29">
        <f>H99+M99</f>
        <v>35074.728371999998</v>
      </c>
      <c r="O99" s="406" t="s">
        <v>207</v>
      </c>
      <c r="P99" s="358"/>
      <c r="Q99" s="358"/>
      <c r="R99" s="358"/>
      <c r="S99" s="358"/>
      <c r="T99" s="358"/>
    </row>
    <row r="102" spans="1:20" ht="42" customHeight="1">
      <c r="A102" s="47" t="s">
        <v>240</v>
      </c>
      <c r="B102" s="9">
        <v>21921.93</v>
      </c>
      <c r="C102" s="42">
        <f>12.16*3</f>
        <v>36.480000000000004</v>
      </c>
      <c r="D102" s="42"/>
      <c r="E102" s="42">
        <v>1110.8399999999999</v>
      </c>
      <c r="F102" s="42"/>
      <c r="G102" s="42">
        <f>248793.6/((69+71)/2)</f>
        <v>3554.1942857142858</v>
      </c>
      <c r="H102" s="43">
        <f>SUM(B102:G102)</f>
        <v>26623.444285714286</v>
      </c>
      <c r="I102" s="44">
        <f>H102*23.8%</f>
        <v>6336.3797400000003</v>
      </c>
      <c r="J102" s="42">
        <f>(H102-F102)*2.88%</f>
        <v>766.75519542857137</v>
      </c>
      <c r="K102" s="44">
        <f>H102*2.3%</f>
        <v>612.33921857142855</v>
      </c>
      <c r="L102" s="44">
        <f>H102*8.5%</f>
        <v>2262.9927642857147</v>
      </c>
      <c r="M102" s="45">
        <f>SUM(I102:L102)</f>
        <v>9978.4669182857142</v>
      </c>
      <c r="N102" s="45">
        <f>H102+M102</f>
        <v>36601.911204000004</v>
      </c>
      <c r="O102" s="406" t="s">
        <v>208</v>
      </c>
      <c r="P102" s="358"/>
      <c r="Q102" s="358"/>
      <c r="R102" s="358"/>
      <c r="S102" s="358"/>
      <c r="T102" s="358"/>
    </row>
    <row r="103" spans="1:20">
      <c r="A103" s="46"/>
      <c r="O103" s="3"/>
      <c r="P103" s="3"/>
      <c r="Q103" s="3"/>
      <c r="R103" s="3"/>
      <c r="S103" s="3"/>
      <c r="T103" s="3"/>
    </row>
    <row r="104" spans="1:20">
      <c r="A104" s="41" t="s">
        <v>242</v>
      </c>
      <c r="B104" s="9"/>
      <c r="C104" s="9"/>
      <c r="D104" s="9"/>
      <c r="E104" s="9"/>
      <c r="F104" s="9"/>
      <c r="G104" s="9"/>
      <c r="H104" s="27"/>
      <c r="I104" s="28"/>
      <c r="J104" s="9"/>
      <c r="K104" s="28"/>
      <c r="L104" s="28"/>
      <c r="M104" s="29"/>
      <c r="N104" s="29"/>
      <c r="O104" s="3"/>
      <c r="P104" s="3"/>
      <c r="Q104" s="3"/>
      <c r="R104" s="3"/>
      <c r="S104" s="3"/>
      <c r="T104" s="3"/>
    </row>
    <row r="105" spans="1:20" ht="30">
      <c r="A105" s="47" t="s">
        <v>456</v>
      </c>
      <c r="B105" s="9">
        <f>1695.34*13</f>
        <v>22039.42</v>
      </c>
      <c r="C105" s="9">
        <f>276+92.57</f>
        <v>368.57</v>
      </c>
      <c r="D105" s="9"/>
      <c r="E105" s="9"/>
      <c r="F105" s="9"/>
      <c r="G105" s="9">
        <f>260158.04/((70+70)/2)</f>
        <v>3716.5434285714286</v>
      </c>
      <c r="H105" s="27">
        <f>SUM(B105:G105)</f>
        <v>26124.533428571427</v>
      </c>
      <c r="I105" s="28">
        <f>H105*23.8%</f>
        <v>6217.6389559999998</v>
      </c>
      <c r="J105" s="9">
        <f>(H105-F105)*2.88%</f>
        <v>752.38656274285711</v>
      </c>
      <c r="K105" s="28">
        <f>H105*2.3%</f>
        <v>600.86426885714286</v>
      </c>
      <c r="L105" s="28">
        <f>H105*8.5%</f>
        <v>2220.5853414285716</v>
      </c>
      <c r="M105" s="29">
        <f>SUM(I105:L105)</f>
        <v>9791.4751290285712</v>
      </c>
      <c r="N105" s="29">
        <f>H105+M105</f>
        <v>35916.008557599998</v>
      </c>
      <c r="O105" s="3"/>
      <c r="P105" s="3"/>
      <c r="Q105" s="3"/>
      <c r="R105" s="3"/>
      <c r="S105" s="3"/>
      <c r="T105" s="3"/>
    </row>
    <row r="107" spans="1:20" ht="32.25" customHeight="1">
      <c r="N107" s="29"/>
    </row>
    <row r="108" spans="1:20" ht="28.5" customHeight="1">
      <c r="A108" s="1028" t="s">
        <v>575</v>
      </c>
      <c r="B108" s="1029"/>
    </row>
    <row r="109" spans="1:20">
      <c r="A109" s="407"/>
      <c r="B109" s="407"/>
    </row>
    <row r="110" spans="1:20">
      <c r="A110" t="s">
        <v>230</v>
      </c>
      <c r="B110" s="9">
        <f>22135.47/12*13</f>
        <v>23980.092500000002</v>
      </c>
      <c r="C110">
        <f>'CALCOLO VAC. E PEREQ 2020'!S88+'CALCOLO VAC. E PEREQ 2020'!AE88</f>
        <v>98.95750000000001</v>
      </c>
      <c r="G110" s="9">
        <f>260158.04/((70+70)/2)</f>
        <v>3716.5434285714286</v>
      </c>
      <c r="H110" s="43">
        <f>SUM(B110:G110)</f>
        <v>27795.593428571432</v>
      </c>
      <c r="I110" s="44">
        <f t="shared" ref="I110" si="29">H110*23.8%</f>
        <v>6615.3512360000013</v>
      </c>
      <c r="J110" s="42">
        <f t="shared" ref="J110" si="30">(H110-E110-F110-G110)*2.88%</f>
        <v>693.47664000000009</v>
      </c>
      <c r="K110" s="44">
        <f t="shared" ref="K110" si="31">H110*0.5%</f>
        <v>138.97796714285715</v>
      </c>
      <c r="L110" s="44">
        <f t="shared" ref="L110" si="32">H110*8.5%</f>
        <v>2362.6254414285718</v>
      </c>
      <c r="M110" s="45">
        <f t="shared" ref="M110" si="33">SUM(I110:L110)</f>
        <v>9810.4312845714303</v>
      </c>
      <c r="N110" s="45">
        <f t="shared" ref="N110" si="34">H110+M110</f>
        <v>37606.024713142862</v>
      </c>
      <c r="O110" s="364"/>
      <c r="P110" s="414"/>
    </row>
    <row r="111" spans="1:20" ht="32.450000000000003" customHeight="1"/>
    <row r="112" spans="1:20">
      <c r="H112" s="43"/>
      <c r="I112" s="44"/>
      <c r="J112" s="42"/>
      <c r="K112" s="44"/>
      <c r="L112" s="44"/>
      <c r="M112" s="45"/>
      <c r="N112" s="45"/>
      <c r="P112" s="425">
        <f t="shared" ref="P112" si="35">N112/36*30</f>
        <v>0</v>
      </c>
    </row>
    <row r="113" spans="1:16" ht="45">
      <c r="A113" s="46" t="s">
        <v>574</v>
      </c>
      <c r="B113" s="42">
        <v>22039.409166666665</v>
      </c>
      <c r="C113" s="9">
        <f>'CALCOLO VAC. E PEREQ 2020'!S52+'CALCOLO VAC. E PEREQ 2020'!AE52</f>
        <v>0</v>
      </c>
      <c r="E113">
        <v>0</v>
      </c>
      <c r="G113" s="9">
        <f>260158.04/((70+70)/2)</f>
        <v>3716.5434285714286</v>
      </c>
      <c r="H113" s="43">
        <f t="shared" ref="H113" si="36">SUM(B113:G113)</f>
        <v>25755.952595238094</v>
      </c>
      <c r="I113" s="44">
        <f t="shared" ref="I113" si="37">H113*23.8%</f>
        <v>6129.916717666667</v>
      </c>
      <c r="J113" s="42">
        <f t="shared" ref="J113" si="38">(H113-E113-F113-G113)*2.88%</f>
        <v>634.73498399999994</v>
      </c>
      <c r="K113" s="44">
        <f t="shared" ref="K113" si="39">H113*0.5%</f>
        <v>128.77976297619048</v>
      </c>
      <c r="L113" s="44">
        <f t="shared" ref="L113" si="40">H113*8.5%</f>
        <v>2189.2559705952381</v>
      </c>
      <c r="M113" s="45">
        <f t="shared" ref="M113" si="41">SUM(I113:L113)</f>
        <v>9082.6874352380946</v>
      </c>
      <c r="N113" s="45">
        <f t="shared" ref="N113" si="42">H113+M113</f>
        <v>34838.640030476192</v>
      </c>
      <c r="P113" s="425"/>
    </row>
    <row r="115" spans="1:16">
      <c r="A115" s="1050" t="s">
        <v>248</v>
      </c>
      <c r="B115" s="1050"/>
      <c r="C115" s="1050"/>
      <c r="D115" s="1050"/>
      <c r="E115" s="1050"/>
      <c r="F115" s="1050"/>
      <c r="G115" s="1050"/>
      <c r="H115" s="1050"/>
      <c r="I115" s="1050"/>
      <c r="J115" s="1050"/>
      <c r="K115" s="1050"/>
      <c r="L115" s="1050"/>
      <c r="M115" s="1050"/>
      <c r="N115" s="1050"/>
      <c r="O115" s="1050"/>
    </row>
    <row r="117" spans="1:16" ht="60">
      <c r="A117" s="358" t="s">
        <v>457</v>
      </c>
      <c r="B117" s="9">
        <f>1695.34*13</f>
        <v>22039.42</v>
      </c>
      <c r="C117" s="9">
        <f>276+92.57</f>
        <v>368.57</v>
      </c>
      <c r="D117" s="42"/>
      <c r="E117" s="42"/>
      <c r="F117" s="42"/>
      <c r="G117" s="9">
        <f>260158.04/((70+70)/2)</f>
        <v>3716.5434285714286</v>
      </c>
      <c r="H117" s="43">
        <f>SUM(B117:G117)</f>
        <v>26124.533428571427</v>
      </c>
      <c r="I117" s="44">
        <f>H117*23.8%</f>
        <v>6217.6389559999998</v>
      </c>
      <c r="J117" s="42">
        <f>(H117-E117-F117-G117)*2.88%</f>
        <v>645.35011199999997</v>
      </c>
      <c r="K117" s="44">
        <f>H117*0.5%</f>
        <v>130.62266714285713</v>
      </c>
      <c r="L117" s="44">
        <f>H117*8.5%</f>
        <v>2220.5853414285716</v>
      </c>
      <c r="M117" s="45">
        <f>SUM(I117:L117)</f>
        <v>9214.1970765714286</v>
      </c>
      <c r="N117" s="45">
        <f>H117+M117</f>
        <v>35338.730505142856</v>
      </c>
      <c r="O117" s="425"/>
    </row>
    <row r="118" spans="1:16">
      <c r="H118" s="43"/>
      <c r="I118" s="44"/>
      <c r="J118" s="42"/>
      <c r="K118" s="44"/>
      <c r="L118" s="44"/>
      <c r="M118" s="45"/>
      <c r="N118" s="45"/>
    </row>
    <row r="119" spans="1:16" ht="16.5" thickBot="1">
      <c r="A119" t="s">
        <v>458</v>
      </c>
      <c r="B119" s="9">
        <f>1695.34*13</f>
        <v>22039.42</v>
      </c>
      <c r="C119" s="9">
        <f>'CALCOLO VAC. E PEREQ 2020'!O53+'CALCOLO VAC. E PEREQ 2020'!AB53</f>
        <v>430.31</v>
      </c>
      <c r="D119" s="199"/>
      <c r="E119" s="42">
        <v>1110.8399999999999</v>
      </c>
      <c r="F119" s="42"/>
      <c r="G119" s="9">
        <f>260158.04/((70+70)/2)</f>
        <v>3716.5434285714286</v>
      </c>
      <c r="H119" s="43">
        <f t="shared" ref="H119" si="43">SUM(B119:G119)</f>
        <v>27297.113428571429</v>
      </c>
      <c r="I119" s="44">
        <f t="shared" ref="I119:I121" si="44">H119*23.8%</f>
        <v>6496.7129960000002</v>
      </c>
      <c r="J119" s="42">
        <f t="shared" ref="J119" si="45">(H119-E119-F119-G119)*2.88%</f>
        <v>647.12822399999993</v>
      </c>
      <c r="K119" s="44">
        <f>H119*2.3%</f>
        <v>627.83360885714285</v>
      </c>
      <c r="L119" s="44">
        <f t="shared" ref="L119" si="46">H119*8.5%</f>
        <v>2320.2546414285716</v>
      </c>
      <c r="M119" s="45">
        <f t="shared" ref="M119" si="47">SUM(I119:L119)</f>
        <v>10091.929470285715</v>
      </c>
      <c r="N119" s="45">
        <f t="shared" ref="N119" si="48">H119+M119</f>
        <v>37389.042898857144</v>
      </c>
    </row>
    <row r="120" spans="1:16" ht="15.75" thickTop="1"/>
    <row r="121" spans="1:16" ht="16.5" thickBot="1">
      <c r="A121" t="s">
        <v>576</v>
      </c>
      <c r="B121" s="9">
        <f>1695.34*13</f>
        <v>22039.42</v>
      </c>
      <c r="C121" s="9">
        <f>'CALCOLO VAC. E PEREQ 2020'!S54+'CALCOLO VAC. E PEREQ 2020'!AE54</f>
        <v>286.87333333333333</v>
      </c>
      <c r="D121" s="199"/>
      <c r="E121" s="42"/>
      <c r="F121" s="42"/>
      <c r="G121" s="9">
        <f>260158.04/((70+70)/2)</f>
        <v>3716.5434285714286</v>
      </c>
      <c r="H121" s="43">
        <f t="shared" ref="H121" si="49">SUM(B121:G121)</f>
        <v>26042.83676190476</v>
      </c>
      <c r="I121" s="44">
        <f t="shared" si="44"/>
        <v>6198.1951493333336</v>
      </c>
      <c r="J121" s="42">
        <f t="shared" ref="J121" si="50">(H121-E121-F121-G121)*2.88%</f>
        <v>642.9972479999999</v>
      </c>
      <c r="K121" s="44">
        <f>H121*0.5%</f>
        <v>130.2141838095238</v>
      </c>
      <c r="L121" s="44">
        <f t="shared" ref="L121" si="51">H121*8.5%</f>
        <v>2213.6411247619048</v>
      </c>
      <c r="M121" s="45">
        <f t="shared" ref="M121" si="52">SUM(I121:L121)</f>
        <v>9185.0477059047626</v>
      </c>
      <c r="N121" s="45">
        <f t="shared" ref="N121" si="53">H121+M121</f>
        <v>35227.884467809519</v>
      </c>
      <c r="O121" s="414"/>
    </row>
    <row r="122" spans="1:16" ht="15.75" thickTop="1"/>
    <row r="123" spans="1:16">
      <c r="A123" s="1028" t="s">
        <v>460</v>
      </c>
      <c r="B123" s="1029"/>
    </row>
    <row r="125" spans="1:16" ht="16.5" thickBot="1">
      <c r="A125" t="s">
        <v>458</v>
      </c>
      <c r="B125" s="9">
        <f>1695.34*13</f>
        <v>22039.42</v>
      </c>
      <c r="C125" s="9">
        <f>'CALCOLO VAC. E PEREQ 2020'!O56+'CALCOLO VAC. E PEREQ 2020'!AB56</f>
        <v>430.31</v>
      </c>
      <c r="D125" s="199"/>
      <c r="E125" s="42">
        <v>1110.8399999999999</v>
      </c>
      <c r="F125" s="42"/>
      <c r="G125" s="9">
        <f>260158.04/((70+70)/2)</f>
        <v>3716.5434285714286</v>
      </c>
      <c r="H125" s="43">
        <f t="shared" ref="H125" si="54">SUM(B125:G125)</f>
        <v>27297.113428571429</v>
      </c>
      <c r="I125" s="44">
        <f>H125*23.8%</f>
        <v>6496.7129960000002</v>
      </c>
      <c r="J125" s="42">
        <f t="shared" ref="J125" si="55">(H125-E125-F125-G125)*2.88%</f>
        <v>647.12822399999993</v>
      </c>
      <c r="K125" s="44">
        <f>H125*2.3%</f>
        <v>627.83360885714285</v>
      </c>
      <c r="L125" s="44">
        <f t="shared" ref="L125" si="56">H125*8.5%</f>
        <v>2320.2546414285716</v>
      </c>
      <c r="M125" s="45">
        <f t="shared" ref="M125" si="57">SUM(I125:L125)</f>
        <v>10091.929470285715</v>
      </c>
      <c r="N125" s="45">
        <f t="shared" ref="N125" si="58">H125+M125</f>
        <v>37389.042898857144</v>
      </c>
    </row>
    <row r="126" spans="1:16" ht="15.75" thickTop="1">
      <c r="H126" s="43"/>
      <c r="I126" s="44"/>
      <c r="J126" s="42"/>
      <c r="K126" s="44"/>
      <c r="L126" s="44"/>
      <c r="M126" s="45"/>
      <c r="N126" s="45"/>
    </row>
    <row r="127" spans="1:16">
      <c r="A127" t="s">
        <v>459</v>
      </c>
      <c r="B127" s="9">
        <f>1695.34*13</f>
        <v>22039.42</v>
      </c>
      <c r="C127" s="28">
        <f>'CALCOLO VAC. E PEREQ 2020'!O58+'CALCOLO VAC. E PEREQ 2020'!AB58</f>
        <v>430.31</v>
      </c>
      <c r="G127" s="9">
        <f>260158.04/((70+70)/2)</f>
        <v>3716.5434285714286</v>
      </c>
      <c r="H127" s="43">
        <f t="shared" ref="H127" si="59">SUM(B127:G127)</f>
        <v>26186.273428571429</v>
      </c>
      <c r="I127" s="44">
        <f t="shared" ref="I127" si="60">H127*23.8%</f>
        <v>6232.3330760000008</v>
      </c>
      <c r="J127" s="42">
        <f t="shared" ref="J127" si="61">(H127-E127-F127-G127)*2.88%</f>
        <v>647.12822399999993</v>
      </c>
      <c r="K127" s="44">
        <f>H127*0.5%</f>
        <v>130.93136714285714</v>
      </c>
      <c r="L127" s="44">
        <f t="shared" ref="L127" si="62">H127*8.5%</f>
        <v>2225.8332414285715</v>
      </c>
      <c r="M127" s="45">
        <f t="shared" ref="M127" si="63">SUM(I127:L127)</f>
        <v>9236.2259085714286</v>
      </c>
      <c r="N127" s="45">
        <f t="shared" ref="N127" si="64">H127+M127</f>
        <v>35422.499337142857</v>
      </c>
    </row>
    <row r="130" spans="1:14" ht="14.45" customHeight="1">
      <c r="A130" s="1028" t="s">
        <v>707</v>
      </c>
      <c r="B130" s="1029"/>
    </row>
    <row r="132" spans="1:14" ht="79.900000000000006" customHeight="1" thickBot="1">
      <c r="A132" s="46" t="s">
        <v>736</v>
      </c>
      <c r="B132" s="9">
        <f>1695.34*13</f>
        <v>22039.42</v>
      </c>
      <c r="C132" s="9">
        <f>'CALCOLO VAC. E PEREQ 2020'!O54+'CALCOLO VAC. E PEREQ 2020'!AB54</f>
        <v>430.31</v>
      </c>
      <c r="D132" s="199"/>
      <c r="E132" s="922">
        <v>1110.8399999999999</v>
      </c>
      <c r="F132" s="42"/>
      <c r="G132" s="9">
        <f>260158.04/((70+70)/2)</f>
        <v>3716.5434285714286</v>
      </c>
      <c r="H132" s="43">
        <f t="shared" ref="H132" si="65">SUM(B132:G132)</f>
        <v>27297.113428571429</v>
      </c>
      <c r="I132" s="44">
        <f t="shared" ref="I132" si="66">H132*23.8%</f>
        <v>6496.7129960000002</v>
      </c>
      <c r="J132" s="42">
        <f t="shared" ref="J132" si="67">(H132-E132-F132-G132)*2.88%</f>
        <v>647.12822399999993</v>
      </c>
      <c r="K132" s="44">
        <f>H132*2.3%</f>
        <v>627.83360885714285</v>
      </c>
      <c r="L132" s="44">
        <f t="shared" ref="L132" si="68">H132*8.5%</f>
        <v>2320.2546414285716</v>
      </c>
      <c r="M132" s="45">
        <f>SUM(I132:L132)</f>
        <v>10091.929470285715</v>
      </c>
      <c r="N132" s="45">
        <f t="shared" ref="N132" si="69">H132+M132</f>
        <v>37389.042898857144</v>
      </c>
    </row>
    <row r="133" spans="1:14" ht="15.75" thickTop="1"/>
    <row r="134" spans="1:14" ht="30">
      <c r="A134" s="46" t="s">
        <v>691</v>
      </c>
      <c r="B134" s="9">
        <f>1695.34*13</f>
        <v>22039.42</v>
      </c>
      <c r="C134" s="28">
        <f>'CALCOLO VAC. E PEREQ 2020'!O52+'CALCOLO VAC. E PEREQ 2020'!AB52</f>
        <v>430.31</v>
      </c>
      <c r="G134" s="9">
        <f>260158.04/((70+70)/2)</f>
        <v>3716.5434285714286</v>
      </c>
      <c r="H134" s="43">
        <f t="shared" ref="H134" si="70">SUM(B134:G134)</f>
        <v>26186.273428571429</v>
      </c>
      <c r="I134" s="44">
        <f t="shared" ref="I134" si="71">H134*23.8%</f>
        <v>6232.3330760000008</v>
      </c>
      <c r="J134" s="42">
        <f t="shared" ref="J134" si="72">(H134-E134-F134-G134)*2.88%</f>
        <v>647.12822399999993</v>
      </c>
      <c r="K134" s="44">
        <f>H134*0.5%</f>
        <v>130.93136714285714</v>
      </c>
      <c r="L134" s="44">
        <f t="shared" ref="L134" si="73">H134*8.5%</f>
        <v>2225.8332414285715</v>
      </c>
      <c r="M134" s="45">
        <f t="shared" ref="M134" si="74">SUM(I134:L134)</f>
        <v>9236.2259085714286</v>
      </c>
      <c r="N134" s="45">
        <f t="shared" ref="N134" si="75">H134+M134</f>
        <v>35422.499337142857</v>
      </c>
    </row>
    <row r="136" spans="1:14" ht="30">
      <c r="A136" s="46" t="s">
        <v>706</v>
      </c>
      <c r="B136" s="9">
        <f>1695.34*13</f>
        <v>22039.42</v>
      </c>
      <c r="C136" s="28">
        <f>'CALCOLO VAC. E PEREQ 2020'!O58+'CALCOLO VAC. E PEREQ 2020'!AB58</f>
        <v>430.31</v>
      </c>
      <c r="G136" s="9">
        <f>260158.04/((70+70)/2)</f>
        <v>3716.5434285714286</v>
      </c>
      <c r="H136" s="43">
        <f t="shared" ref="H136" si="76">SUM(B136:G136)</f>
        <v>26186.273428571429</v>
      </c>
      <c r="I136" s="44">
        <f t="shared" ref="I136" si="77">H136*23.8%</f>
        <v>6232.3330760000008</v>
      </c>
      <c r="J136" s="42">
        <f t="shared" ref="J136" si="78">(H136-E136-F136-G136)*2.88%</f>
        <v>647.12822399999993</v>
      </c>
      <c r="K136" s="44">
        <f>H136*0.5%</f>
        <v>130.93136714285714</v>
      </c>
      <c r="L136" s="44">
        <f t="shared" ref="L136" si="79">H136*8.5%</f>
        <v>2225.8332414285715</v>
      </c>
      <c r="M136" s="45">
        <f t="shared" ref="M136" si="80">SUM(I136:L136)</f>
        <v>9236.2259085714286</v>
      </c>
      <c r="N136" s="45">
        <f t="shared" ref="N136" si="81">H136+M136</f>
        <v>35422.499337142857</v>
      </c>
    </row>
    <row r="138" spans="1:14" ht="16.5" thickBot="1">
      <c r="A138" s="878" t="s">
        <v>692</v>
      </c>
      <c r="B138" s="885">
        <f>1695.34*13</f>
        <v>22039.42</v>
      </c>
      <c r="C138" s="885">
        <f>'CALCOLO VAC. E PEREQ 2020'!O57+'CALCOLO VAC. E PEREQ 2020'!AB57</f>
        <v>430.31</v>
      </c>
      <c r="D138" s="886"/>
      <c r="E138" s="887">
        <v>1110.8399999999999</v>
      </c>
      <c r="F138" s="887"/>
      <c r="G138" s="885">
        <f>260158.04/((70+70)/2)</f>
        <v>3716.5434285714286</v>
      </c>
      <c r="H138" s="888">
        <f t="shared" ref="H138" si="82">SUM(B138:G138)</f>
        <v>27297.113428571429</v>
      </c>
      <c r="I138" s="889">
        <f>H138*23.8%</f>
        <v>6496.7129960000002</v>
      </c>
      <c r="J138" s="887">
        <f t="shared" ref="J138" si="83">(H138-E138-F138-G138)*2.88%</f>
        <v>647.12822399999993</v>
      </c>
      <c r="K138" s="889">
        <f>H138*2.3%</f>
        <v>627.83360885714285</v>
      </c>
      <c r="L138" s="889">
        <f t="shared" ref="L138" si="84">H138*8.5%</f>
        <v>2320.2546414285716</v>
      </c>
      <c r="M138" s="890">
        <f t="shared" ref="M138" si="85">SUM(I138:L138)</f>
        <v>10091.929470285715</v>
      </c>
      <c r="N138" s="890"/>
    </row>
    <row r="139" spans="1:14" ht="15.75" thickTop="1"/>
    <row r="140" spans="1:14" ht="30">
      <c r="A140" s="46" t="s">
        <v>693</v>
      </c>
      <c r="B140" s="9">
        <f>22135.47/12*13</f>
        <v>23980.092500000002</v>
      </c>
      <c r="C140">
        <f>'CALCOLO VAC. E PEREQ 2020'!O88+'CALCOLO VAC. E PEREQ 2020'!AB88</f>
        <v>395.83000000000004</v>
      </c>
      <c r="G140" s="9">
        <f>260158.04/((70+70)/2)</f>
        <v>3716.5434285714286</v>
      </c>
      <c r="H140" s="43">
        <f>SUM(B140:G140)</f>
        <v>28092.465928571433</v>
      </c>
      <c r="I140" s="44">
        <f t="shared" ref="I140" si="86">H140*23.8%</f>
        <v>6686.0068910000018</v>
      </c>
      <c r="J140" s="42">
        <f t="shared" ref="J140" si="87">(H140-E140-F140-G140)*2.88%</f>
        <v>702.02656800000011</v>
      </c>
      <c r="K140" s="44">
        <f t="shared" ref="K140" si="88">H140*0.5%</f>
        <v>140.46232964285716</v>
      </c>
      <c r="L140" s="44">
        <f t="shared" ref="L140" si="89">H140*8.5%</f>
        <v>2387.8596039285721</v>
      </c>
      <c r="M140" s="45">
        <f t="shared" ref="M140" si="90">SUM(I140:L140)</f>
        <v>9916.3553925714314</v>
      </c>
      <c r="N140" s="45">
        <f t="shared" ref="N140" si="91">H140+M140</f>
        <v>38008.821321142867</v>
      </c>
    </row>
    <row r="142" spans="1:14" ht="45">
      <c r="A142" s="891" t="s">
        <v>698</v>
      </c>
      <c r="B142" s="885">
        <f>1695.34*13</f>
        <v>22039.42</v>
      </c>
      <c r="C142" s="892">
        <f>'CALCOLO VAC. E PEREQ 2020'!O59+'CALCOLO VAC. E PEREQ 2020'!AB59</f>
        <v>430.31</v>
      </c>
      <c r="D142" s="878"/>
      <c r="E142" s="878"/>
      <c r="F142" s="878"/>
      <c r="G142" s="885">
        <f>260158.04/((70+70)/2)</f>
        <v>3716.5434285714286</v>
      </c>
      <c r="H142" s="888">
        <f t="shared" ref="H142" si="92">SUM(B142:G142)</f>
        <v>26186.273428571429</v>
      </c>
      <c r="I142" s="889">
        <f t="shared" ref="I142" si="93">H142*23.8%</f>
        <v>6232.3330760000008</v>
      </c>
      <c r="J142" s="887">
        <f t="shared" ref="J142" si="94">(H142-E142-F142-G142)*2.88%</f>
        <v>647.12822399999993</v>
      </c>
      <c r="K142" s="889">
        <f>H142*0.5%</f>
        <v>130.93136714285714</v>
      </c>
      <c r="L142" s="889">
        <f t="shared" ref="L142" si="95">H142*8.5%</f>
        <v>2225.8332414285715</v>
      </c>
      <c r="M142" s="890">
        <f t="shared" ref="M142" si="96">SUM(I142:L142)</f>
        <v>9236.2259085714286</v>
      </c>
      <c r="N142" s="890"/>
    </row>
    <row r="143" spans="1:14">
      <c r="G143" s="9"/>
      <c r="H143" s="43"/>
      <c r="I143" s="44"/>
      <c r="J143" s="42"/>
      <c r="K143" s="44"/>
      <c r="L143" s="44"/>
      <c r="M143" s="45"/>
    </row>
    <row r="144" spans="1:14" ht="60">
      <c r="A144" s="891" t="s">
        <v>709</v>
      </c>
      <c r="B144" s="885">
        <f>1695.34*13</f>
        <v>22039.42</v>
      </c>
      <c r="C144" s="892">
        <f>'CALCOLO VAC. E PEREQ 2020'!O52+'CALCOLO VAC. E PEREQ 2020'!AB52</f>
        <v>430.31</v>
      </c>
      <c r="D144" s="878"/>
      <c r="E144" s="878"/>
      <c r="F144" s="878"/>
      <c r="G144" s="885">
        <f>260158.04/((70+70)/2)</f>
        <v>3716.5434285714286</v>
      </c>
      <c r="H144" s="888">
        <f t="shared" ref="H144" si="97">SUM(B144:G144)</f>
        <v>26186.273428571429</v>
      </c>
      <c r="I144" s="889">
        <f t="shared" ref="I144" si="98">H144*23.8%</f>
        <v>6232.3330760000008</v>
      </c>
      <c r="J144" s="887">
        <f t="shared" ref="J144" si="99">(H144-E144-F144-G144)*2.88%</f>
        <v>647.12822399999993</v>
      </c>
      <c r="K144" s="889">
        <f>H144*0.5%</f>
        <v>130.93136714285714</v>
      </c>
      <c r="L144" s="889">
        <f t="shared" ref="L144" si="100">H144*8.5%</f>
        <v>2225.8332414285715</v>
      </c>
      <c r="M144" s="890">
        <f t="shared" ref="M144" si="101">SUM(I144:L144)</f>
        <v>9236.2259085714286</v>
      </c>
      <c r="N144" s="890"/>
    </row>
    <row r="145" spans="1:16">
      <c r="A145" s="46"/>
      <c r="G145" s="9"/>
      <c r="H145" s="43"/>
      <c r="I145" s="44"/>
      <c r="J145" s="42"/>
      <c r="K145" s="44"/>
      <c r="L145" s="44"/>
      <c r="M145" s="45"/>
      <c r="N145" s="45"/>
    </row>
    <row r="146" spans="1:16">
      <c r="G146" s="9"/>
      <c r="H146" s="43"/>
      <c r="I146" s="44"/>
      <c r="J146" s="42"/>
      <c r="K146" s="44"/>
      <c r="L146" s="44"/>
      <c r="M146" s="45"/>
    </row>
    <row r="147" spans="1:16">
      <c r="A147" s="1028" t="s">
        <v>708</v>
      </c>
      <c r="B147" s="1029"/>
      <c r="G147" s="9"/>
      <c r="H147" s="43"/>
      <c r="I147" s="44"/>
      <c r="J147" s="42"/>
      <c r="K147" s="44"/>
      <c r="L147" s="44"/>
      <c r="M147" s="45"/>
      <c r="N147" s="537">
        <f>N132+N134+N136+N138+N140+N142+N144</f>
        <v>146242.86289428573</v>
      </c>
      <c r="O147" s="702" t="s">
        <v>694</v>
      </c>
    </row>
    <row r="148" spans="1:16">
      <c r="G148" s="9"/>
      <c r="H148" s="43"/>
      <c r="I148" s="44"/>
      <c r="J148" s="42"/>
      <c r="K148" s="44"/>
      <c r="L148" s="44"/>
      <c r="M148" s="45"/>
    </row>
    <row r="149" spans="1:16">
      <c r="A149" s="46"/>
      <c r="G149" s="9"/>
      <c r="H149" s="43"/>
      <c r="I149" s="44"/>
      <c r="J149" s="42"/>
      <c r="K149" s="44"/>
      <c r="L149" s="44"/>
      <c r="M149" s="45"/>
      <c r="N149" s="45"/>
      <c r="O149" s="425"/>
    </row>
    <row r="151" spans="1:16" ht="45">
      <c r="A151" s="46" t="s">
        <v>710</v>
      </c>
      <c r="B151">
        <f>22135.47/12*13</f>
        <v>23980.092500000002</v>
      </c>
      <c r="C151">
        <f>'CALCOLO VAC. E PEREQ 2020'!O88+'CALCOLO VAC. E PEREQ 2020'!AB88</f>
        <v>395.83000000000004</v>
      </c>
      <c r="G151" s="9">
        <f>260158.04/((70+70)/2)</f>
        <v>3716.5434285714286</v>
      </c>
      <c r="H151" s="43">
        <f t="shared" ref="H151" si="102">SUM(B151:G151)</f>
        <v>28092.465928571433</v>
      </c>
      <c r="I151" s="44">
        <f t="shared" ref="I151" si="103">H151*23.8%</f>
        <v>6686.0068910000018</v>
      </c>
      <c r="J151" s="42">
        <f t="shared" ref="J151" si="104">(H151-E151-F151-G151)*2.88%</f>
        <v>702.02656800000011</v>
      </c>
      <c r="K151" s="44">
        <f t="shared" ref="K151" si="105">H151*0.5%</f>
        <v>140.46232964285716</v>
      </c>
      <c r="L151" s="44">
        <f t="shared" ref="L151" si="106">H151*8.5%</f>
        <v>2387.8596039285721</v>
      </c>
      <c r="M151" s="45">
        <f t="shared" ref="M151" si="107">SUM(I151:L151)</f>
        <v>9916.3553925714314</v>
      </c>
      <c r="N151" s="45">
        <f t="shared" ref="N151" si="108">H151+M151</f>
        <v>38008.821321142867</v>
      </c>
    </row>
    <row r="153" spans="1:16">
      <c r="N153" s="537">
        <f>N151</f>
        <v>38008.821321142867</v>
      </c>
      <c r="O153" s="702" t="s">
        <v>711</v>
      </c>
      <c r="P153" s="425">
        <f>N147-N145+N153</f>
        <v>184251.6842154286</v>
      </c>
    </row>
    <row r="155" spans="1:16">
      <c r="A155" s="876" t="s">
        <v>700</v>
      </c>
    </row>
    <row r="156" spans="1:16">
      <c r="A156" s="878" t="s">
        <v>701</v>
      </c>
      <c r="G156" t="s">
        <v>712</v>
      </c>
    </row>
    <row r="157" spans="1:16">
      <c r="A157" s="876" t="s">
        <v>702</v>
      </c>
      <c r="G157" t="s">
        <v>713</v>
      </c>
    </row>
  </sheetData>
  <mergeCells count="47">
    <mergeCell ref="A26:B26"/>
    <mergeCell ref="A25:B25"/>
    <mergeCell ref="A27:B27"/>
    <mergeCell ref="A130:B130"/>
    <mergeCell ref="A123:B123"/>
    <mergeCell ref="A115:O115"/>
    <mergeCell ref="A85:B85"/>
    <mergeCell ref="C85:D85"/>
    <mergeCell ref="A86:B86"/>
    <mergeCell ref="C86:D86"/>
    <mergeCell ref="A87:B87"/>
    <mergeCell ref="C87:D87"/>
    <mergeCell ref="A83:B83"/>
    <mergeCell ref="C83:D83"/>
    <mergeCell ref="A88:B88"/>
    <mergeCell ref="C88:D88"/>
    <mergeCell ref="K38:O38"/>
    <mergeCell ref="A108:B108"/>
    <mergeCell ref="A81:B81"/>
    <mergeCell ref="C81:D81"/>
    <mergeCell ref="G81:H81"/>
    <mergeCell ref="I81:J81"/>
    <mergeCell ref="A82:B82"/>
    <mergeCell ref="C82:D82"/>
    <mergeCell ref="G82:H82"/>
    <mergeCell ref="I82:J82"/>
    <mergeCell ref="I78:J78"/>
    <mergeCell ref="A79:B79"/>
    <mergeCell ref="C79:D79"/>
    <mergeCell ref="G79:H79"/>
    <mergeCell ref="I79:J79"/>
    <mergeCell ref="A1:D2"/>
    <mergeCell ref="A147:B147"/>
    <mergeCell ref="G3:I3"/>
    <mergeCell ref="I5:I6"/>
    <mergeCell ref="L5:L10"/>
    <mergeCell ref="I7:I8"/>
    <mergeCell ref="J7:J8"/>
    <mergeCell ref="K7:K8"/>
    <mergeCell ref="A80:B80"/>
    <mergeCell ref="C80:D80"/>
    <mergeCell ref="G80:H80"/>
    <mergeCell ref="I80:J80"/>
    <mergeCell ref="L12:L18"/>
    <mergeCell ref="A78:B78"/>
    <mergeCell ref="C78:D78"/>
    <mergeCell ref="G78:H78"/>
  </mergeCells>
  <printOptions horizontalCentered="1"/>
  <pageMargins left="0" right="0" top="0" bottom="0" header="0.31496062992125984" footer="0.31496062992125984"/>
  <pageSetup paperSize="8" scale="64" orientation="landscape" r:id="rId1"/>
  <rowBreaks count="2" manualBreakCount="2">
    <brk id="37" max="14" man="1"/>
    <brk id="96" max="14" man="1"/>
  </rowBreaks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N53"/>
  <sheetViews>
    <sheetView topLeftCell="A4" zoomScaleNormal="100" workbookViewId="0">
      <selection activeCell="AF19" sqref="AF19"/>
    </sheetView>
  </sheetViews>
  <sheetFormatPr defaultRowHeight="15"/>
  <cols>
    <col min="2" max="2" width="11.85546875" customWidth="1"/>
    <col min="3" max="3" width="11.85546875" hidden="1" customWidth="1"/>
    <col min="4" max="4" width="13.140625" hidden="1" customWidth="1"/>
    <col min="5" max="8" width="16.42578125" hidden="1" customWidth="1"/>
    <col min="9" max="9" width="7.85546875" hidden="1" customWidth="1"/>
    <col min="10" max="10" width="22.28515625" hidden="1" customWidth="1"/>
    <col min="11" max="13" width="14.85546875" hidden="1" customWidth="1"/>
    <col min="14" max="14" width="5.7109375" hidden="1" customWidth="1"/>
    <col min="15" max="15" width="9.42578125" hidden="1" customWidth="1"/>
    <col min="16" max="16" width="13.85546875" hidden="1" customWidth="1"/>
    <col min="17" max="17" width="9.7109375" hidden="1" customWidth="1"/>
    <col min="18" max="18" width="9.5703125" hidden="1" customWidth="1"/>
    <col min="19" max="19" width="12.28515625" hidden="1" customWidth="1"/>
    <col min="20" max="20" width="10.5703125" hidden="1" customWidth="1"/>
    <col min="21" max="21" width="9.140625" hidden="1" customWidth="1"/>
    <col min="22" max="22" width="10.5703125" hidden="1" customWidth="1"/>
    <col min="23" max="23" width="9.28515625" hidden="1" customWidth="1"/>
    <col min="24" max="24" width="15.85546875" hidden="1" customWidth="1"/>
    <col min="25" max="25" width="9.28515625" hidden="1" customWidth="1"/>
    <col min="26" max="26" width="13.140625" hidden="1" customWidth="1"/>
    <col min="27" max="27" width="9.140625" hidden="1" customWidth="1"/>
    <col min="28" max="28" width="13.140625" bestFit="1" customWidth="1"/>
    <col min="29" max="29" width="9.5703125" bestFit="1" customWidth="1"/>
    <col min="31" max="31" width="10.5703125" bestFit="1" customWidth="1"/>
    <col min="33" max="33" width="10.5703125" bestFit="1" customWidth="1"/>
    <col min="34" max="34" width="9.42578125" bestFit="1" customWidth="1"/>
    <col min="40" max="40" width="9.42578125" bestFit="1" customWidth="1"/>
  </cols>
  <sheetData>
    <row r="1" spans="2:36" ht="90">
      <c r="V1" s="46" t="s">
        <v>294</v>
      </c>
      <c r="W1" s="46" t="s">
        <v>295</v>
      </c>
      <c r="X1" t="s">
        <v>296</v>
      </c>
    </row>
    <row r="2" spans="2:36">
      <c r="W2" t="s">
        <v>96</v>
      </c>
    </row>
    <row r="3" spans="2:36" ht="15.75">
      <c r="B3" s="470" t="s">
        <v>297</v>
      </c>
      <c r="C3" s="470">
        <v>2015</v>
      </c>
      <c r="D3" s="1051" t="s">
        <v>298</v>
      </c>
      <c r="E3" s="1051"/>
      <c r="F3" s="471"/>
      <c r="G3" s="471"/>
      <c r="H3" s="471"/>
      <c r="I3" s="1051" t="s">
        <v>299</v>
      </c>
      <c r="J3" s="1051"/>
      <c r="K3" s="471"/>
      <c r="L3" s="471"/>
      <c r="M3" s="471"/>
      <c r="N3" s="1051" t="s">
        <v>300</v>
      </c>
      <c r="O3" s="1051"/>
      <c r="P3" s="1051" t="s">
        <v>300</v>
      </c>
      <c r="Q3" s="1051"/>
      <c r="AB3" s="1051" t="s">
        <v>301</v>
      </c>
      <c r="AC3" s="1051"/>
    </row>
    <row r="4" spans="2:36" ht="15.75">
      <c r="B4" s="472"/>
      <c r="C4" s="472"/>
      <c r="D4" s="470" t="s">
        <v>302</v>
      </c>
      <c r="E4" s="470" t="s">
        <v>303</v>
      </c>
      <c r="F4" s="470"/>
      <c r="G4" s="470" t="s">
        <v>304</v>
      </c>
      <c r="H4" s="470"/>
      <c r="I4" s="470" t="s">
        <v>302</v>
      </c>
      <c r="J4" s="470" t="s">
        <v>303</v>
      </c>
      <c r="K4" s="470"/>
      <c r="L4" s="470" t="s">
        <v>304</v>
      </c>
      <c r="M4" s="470"/>
      <c r="N4" s="470" t="s">
        <v>302</v>
      </c>
      <c r="O4" s="470" t="s">
        <v>303</v>
      </c>
      <c r="P4" s="470" t="s">
        <v>303</v>
      </c>
      <c r="Q4" s="470"/>
      <c r="R4" s="470" t="s">
        <v>304</v>
      </c>
      <c r="V4" s="470" t="s">
        <v>297</v>
      </c>
      <c r="W4" t="s">
        <v>305</v>
      </c>
      <c r="X4" t="s">
        <v>296</v>
      </c>
      <c r="Y4" s="470" t="s">
        <v>304</v>
      </c>
      <c r="AB4" s="470" t="s">
        <v>303</v>
      </c>
      <c r="AC4" s="470"/>
      <c r="AD4" s="470" t="s">
        <v>304</v>
      </c>
      <c r="AF4" t="s">
        <v>86</v>
      </c>
    </row>
    <row r="5" spans="2:36" ht="15.75">
      <c r="B5" s="472"/>
      <c r="C5" s="472"/>
      <c r="D5" s="470"/>
      <c r="E5" s="470"/>
      <c r="F5" s="470"/>
      <c r="G5" s="470"/>
      <c r="H5" s="470"/>
      <c r="I5" s="470"/>
      <c r="J5" s="470"/>
      <c r="K5" s="470"/>
      <c r="L5" s="473"/>
      <c r="M5" s="470"/>
      <c r="N5" s="470"/>
      <c r="O5" s="470"/>
      <c r="Y5" s="473"/>
    </row>
    <row r="6" spans="2:36" ht="15.75">
      <c r="B6" s="474" t="s">
        <v>306</v>
      </c>
      <c r="C6" s="475">
        <v>17673.684166666666</v>
      </c>
      <c r="D6" s="475">
        <v>16386.57</v>
      </c>
      <c r="E6" s="475">
        <f t="shared" ref="E6:E28" si="0">(D6/12)*13</f>
        <v>17752.1175</v>
      </c>
      <c r="F6" s="475">
        <f t="shared" ref="F6:F28" si="1">E6-C6</f>
        <v>78.433333333334303</v>
      </c>
      <c r="G6" s="473"/>
      <c r="H6" s="475"/>
      <c r="I6" s="475">
        <v>16531.77</v>
      </c>
      <c r="J6" s="475">
        <f t="shared" ref="J6:J28" si="2">(I6/12)*13</f>
        <v>17909.4175</v>
      </c>
      <c r="K6" s="475">
        <f t="shared" ref="K6:K28" si="3">J6-C6</f>
        <v>235.73333333333358</v>
      </c>
      <c r="L6" s="473"/>
      <c r="M6" s="475"/>
      <c r="N6" s="475">
        <v>16938.57</v>
      </c>
      <c r="O6" s="475">
        <f t="shared" ref="O6:O28" si="4">(N6/12)*13</f>
        <v>18350.1175</v>
      </c>
      <c r="P6" s="475">
        <v>18384.317500000001</v>
      </c>
      <c r="Q6" s="476">
        <f t="shared" ref="Q6:Q28" si="5">P6-C6</f>
        <v>710.63333333333503</v>
      </c>
      <c r="R6" s="473">
        <v>0</v>
      </c>
      <c r="S6" s="476">
        <f t="shared" ref="S6:S10" si="6">R6*Q6</f>
        <v>0</v>
      </c>
      <c r="V6" t="s">
        <v>307</v>
      </c>
      <c r="W6">
        <v>29</v>
      </c>
      <c r="X6">
        <f>W6*10</f>
        <v>290</v>
      </c>
      <c r="Y6" s="473"/>
      <c r="Z6" s="476">
        <f>Y6*X6</f>
        <v>0</v>
      </c>
      <c r="AB6" s="475">
        <v>18384.317500000001</v>
      </c>
      <c r="AC6" s="476">
        <f>AB6-C6</f>
        <v>710.63333333333503</v>
      </c>
      <c r="AD6" s="473">
        <v>0</v>
      </c>
      <c r="AE6" s="476">
        <f t="shared" ref="AE6:AE10" si="7">AD6*AC6</f>
        <v>0</v>
      </c>
      <c r="AF6" s="473">
        <v>0</v>
      </c>
      <c r="AG6" s="476">
        <f>AC6*AF6</f>
        <v>0</v>
      </c>
    </row>
    <row r="7" spans="2:36" ht="15.75">
      <c r="B7" s="474" t="s">
        <v>308</v>
      </c>
      <c r="C7" s="475">
        <v>17911.779166666667</v>
      </c>
      <c r="D7" s="475">
        <v>16605.95</v>
      </c>
      <c r="E7" s="475">
        <f t="shared" si="0"/>
        <v>17989.779166666667</v>
      </c>
      <c r="F7" s="475">
        <f t="shared" si="1"/>
        <v>78</v>
      </c>
      <c r="G7" s="473"/>
      <c r="H7" s="475"/>
      <c r="I7" s="475">
        <v>16753.55</v>
      </c>
      <c r="J7" s="475">
        <f t="shared" si="2"/>
        <v>18149.679166666665</v>
      </c>
      <c r="K7" s="475">
        <f t="shared" si="3"/>
        <v>237.89999999999782</v>
      </c>
      <c r="L7" s="473"/>
      <c r="M7" s="475"/>
      <c r="N7" s="475">
        <v>17166.349999999999</v>
      </c>
      <c r="O7" s="475">
        <f t="shared" si="4"/>
        <v>18596.879166666666</v>
      </c>
      <c r="P7" s="475">
        <v>18631.379166666666</v>
      </c>
      <c r="Q7" s="476">
        <f t="shared" si="5"/>
        <v>719.59999999999854</v>
      </c>
      <c r="R7" s="473"/>
      <c r="S7" s="476">
        <f t="shared" si="6"/>
        <v>0</v>
      </c>
      <c r="V7" t="s">
        <v>309</v>
      </c>
      <c r="W7">
        <v>29</v>
      </c>
      <c r="X7">
        <f t="shared" ref="X7:X28" si="8">W7*10</f>
        <v>290</v>
      </c>
      <c r="Y7" s="473"/>
      <c r="Z7" s="476">
        <f t="shared" ref="Z7:Z28" si="9">Y7*X7</f>
        <v>0</v>
      </c>
      <c r="AB7" s="475">
        <v>18731.169999999998</v>
      </c>
      <c r="AC7" s="476">
        <f t="shared" ref="AC7:AC28" si="10">AB7-C7</f>
        <v>819.3908333333311</v>
      </c>
      <c r="AD7" s="473"/>
      <c r="AE7" s="476">
        <f t="shared" si="7"/>
        <v>0</v>
      </c>
      <c r="AF7" s="473"/>
      <c r="AG7" s="476">
        <f t="shared" ref="AG7:AG28" si="11">AC7*AF7</f>
        <v>0</v>
      </c>
    </row>
    <row r="8" spans="2:36" ht="15.75">
      <c r="B8" s="474" t="s">
        <v>118</v>
      </c>
      <c r="C8" s="475">
        <v>18291.39</v>
      </c>
      <c r="D8" s="475">
        <v>16958.759999999998</v>
      </c>
      <c r="E8" s="475">
        <f t="shared" si="0"/>
        <v>18371.989999999998</v>
      </c>
      <c r="F8" s="475">
        <f t="shared" si="1"/>
        <v>80.599999999998545</v>
      </c>
      <c r="G8" s="473"/>
      <c r="H8" s="475"/>
      <c r="I8" s="475">
        <v>17108.759999999998</v>
      </c>
      <c r="J8" s="475">
        <f t="shared" si="2"/>
        <v>18534.489999999998</v>
      </c>
      <c r="K8" s="475">
        <f t="shared" si="3"/>
        <v>243.09999999999854</v>
      </c>
      <c r="L8" s="473"/>
      <c r="M8" s="475"/>
      <c r="N8" s="475">
        <v>17529.96</v>
      </c>
      <c r="O8" s="475">
        <f t="shared" si="4"/>
        <v>18990.79</v>
      </c>
      <c r="P8" s="475">
        <v>19026.09</v>
      </c>
      <c r="Q8" s="476">
        <f t="shared" si="5"/>
        <v>734.70000000000073</v>
      </c>
      <c r="R8" s="473">
        <v>0</v>
      </c>
      <c r="S8" s="476">
        <f t="shared" si="6"/>
        <v>0</v>
      </c>
      <c r="T8" t="s">
        <v>310</v>
      </c>
      <c r="V8" t="s">
        <v>118</v>
      </c>
      <c r="W8">
        <v>28</v>
      </c>
      <c r="X8">
        <f t="shared" si="8"/>
        <v>280</v>
      </c>
      <c r="Y8" s="473"/>
      <c r="Z8" s="476">
        <f t="shared" si="9"/>
        <v>0</v>
      </c>
      <c r="AB8" s="475">
        <v>19127.939999999999</v>
      </c>
      <c r="AC8" s="476">
        <f t="shared" si="10"/>
        <v>836.54999999999927</v>
      </c>
      <c r="AD8" s="473">
        <v>0</v>
      </c>
      <c r="AE8" s="476">
        <f t="shared" si="7"/>
        <v>0</v>
      </c>
      <c r="AF8" s="473">
        <v>0</v>
      </c>
      <c r="AG8" s="476">
        <f t="shared" si="11"/>
        <v>0</v>
      </c>
      <c r="AJ8" t="s">
        <v>321</v>
      </c>
    </row>
    <row r="9" spans="2:36" ht="15.75">
      <c r="B9" s="474" t="s">
        <v>311</v>
      </c>
      <c r="C9" s="475">
        <v>18616.065000000002</v>
      </c>
      <c r="D9" s="475">
        <v>17259.66</v>
      </c>
      <c r="E9" s="475">
        <f t="shared" si="0"/>
        <v>18697.965</v>
      </c>
      <c r="F9" s="475">
        <f t="shared" si="1"/>
        <v>81.899999999997817</v>
      </c>
      <c r="G9" s="473"/>
      <c r="H9" s="475"/>
      <c r="I9" s="475">
        <v>17412.060000000001</v>
      </c>
      <c r="J9" s="475">
        <f t="shared" si="2"/>
        <v>18863.065000000002</v>
      </c>
      <c r="K9" s="475">
        <f t="shared" si="3"/>
        <v>247</v>
      </c>
      <c r="L9" s="473"/>
      <c r="M9" s="475"/>
      <c r="N9" s="475">
        <v>17841.66</v>
      </c>
      <c r="O9" s="475">
        <f t="shared" si="4"/>
        <v>19328.465</v>
      </c>
      <c r="P9" s="475">
        <v>19364.264999999999</v>
      </c>
      <c r="Q9" s="476">
        <f t="shared" si="5"/>
        <v>748.19999999999709</v>
      </c>
      <c r="R9" s="473"/>
      <c r="S9" s="476">
        <f t="shared" si="6"/>
        <v>0</v>
      </c>
      <c r="V9" t="s">
        <v>312</v>
      </c>
      <c r="W9">
        <v>27</v>
      </c>
      <c r="X9">
        <f t="shared" si="8"/>
        <v>270</v>
      </c>
      <c r="Y9" s="473"/>
      <c r="Z9" s="476">
        <f t="shared" si="9"/>
        <v>0</v>
      </c>
      <c r="AB9" s="475">
        <v>19468.09</v>
      </c>
      <c r="AC9" s="476">
        <f t="shared" si="10"/>
        <v>852.02499999999782</v>
      </c>
      <c r="AD9" s="473"/>
      <c r="AE9" s="476">
        <f t="shared" si="7"/>
        <v>0</v>
      </c>
      <c r="AF9" s="473"/>
      <c r="AG9" s="476">
        <f t="shared" si="11"/>
        <v>0</v>
      </c>
    </row>
    <row r="10" spans="2:36" ht="15.75">
      <c r="B10" s="474" t="s">
        <v>313</v>
      </c>
      <c r="C10" s="475">
        <v>19001.287500000002</v>
      </c>
      <c r="D10" s="475">
        <v>17616.45</v>
      </c>
      <c r="E10" s="475">
        <f t="shared" si="0"/>
        <v>19084.487500000003</v>
      </c>
      <c r="F10" s="475">
        <f t="shared" si="1"/>
        <v>83.200000000000728</v>
      </c>
      <c r="G10" s="473"/>
      <c r="H10" s="475"/>
      <c r="I10" s="475">
        <v>17772.45</v>
      </c>
      <c r="J10" s="475">
        <f t="shared" si="2"/>
        <v>19253.487500000003</v>
      </c>
      <c r="K10" s="475">
        <f t="shared" si="3"/>
        <v>252.20000000000073</v>
      </c>
      <c r="L10" s="473"/>
      <c r="M10" s="475"/>
      <c r="N10" s="475">
        <v>18210.45</v>
      </c>
      <c r="O10" s="475">
        <f t="shared" si="4"/>
        <v>19727.987500000003</v>
      </c>
      <c r="P10" s="475">
        <v>19764.587500000001</v>
      </c>
      <c r="Q10" s="476">
        <f t="shared" si="5"/>
        <v>763.29999999999927</v>
      </c>
      <c r="R10" s="473"/>
      <c r="S10" s="476">
        <f t="shared" si="6"/>
        <v>0</v>
      </c>
      <c r="V10" t="s">
        <v>314</v>
      </c>
      <c r="W10">
        <v>26</v>
      </c>
      <c r="X10">
        <f t="shared" si="8"/>
        <v>260</v>
      </c>
      <c r="Y10" s="473"/>
      <c r="Z10" s="476">
        <f t="shared" si="9"/>
        <v>0</v>
      </c>
      <c r="AB10" s="475">
        <v>19870.47</v>
      </c>
      <c r="AC10" s="476">
        <f t="shared" si="10"/>
        <v>869.18249999999898</v>
      </c>
      <c r="AD10" s="473"/>
      <c r="AE10" s="476">
        <f t="shared" si="7"/>
        <v>0</v>
      </c>
      <c r="AF10" s="473"/>
      <c r="AG10" s="476">
        <f t="shared" si="11"/>
        <v>0</v>
      </c>
    </row>
    <row r="11" spans="2:36" ht="15.75">
      <c r="B11" s="474" t="s">
        <v>134</v>
      </c>
      <c r="C11" s="475">
        <v>18681.769166666665</v>
      </c>
      <c r="D11" s="475">
        <v>17320.310000000001</v>
      </c>
      <c r="E11" s="475">
        <f t="shared" si="0"/>
        <v>18763.66916666667</v>
      </c>
      <c r="F11" s="475">
        <f t="shared" si="1"/>
        <v>81.900000000005093</v>
      </c>
      <c r="G11" s="473"/>
      <c r="H11" s="475">
        <f>G11*F11</f>
        <v>0</v>
      </c>
      <c r="I11" s="475">
        <v>17473.91</v>
      </c>
      <c r="J11" s="475">
        <f t="shared" si="2"/>
        <v>18930.069166666664</v>
      </c>
      <c r="K11" s="475">
        <f t="shared" si="3"/>
        <v>248.29999999999927</v>
      </c>
      <c r="L11" s="473"/>
      <c r="M11" s="475">
        <f>K11*L11</f>
        <v>0</v>
      </c>
      <c r="N11" s="475">
        <v>17904.71</v>
      </c>
      <c r="O11" s="475">
        <f t="shared" si="4"/>
        <v>19396.769166666665</v>
      </c>
      <c r="P11" s="475">
        <v>19432.769166666665</v>
      </c>
      <c r="Q11" s="476">
        <f t="shared" si="5"/>
        <v>751</v>
      </c>
      <c r="R11" s="477">
        <v>2</v>
      </c>
      <c r="S11" s="476">
        <f>R11*Q11</f>
        <v>1502</v>
      </c>
      <c r="V11" t="s">
        <v>315</v>
      </c>
      <c r="W11">
        <v>27</v>
      </c>
      <c r="X11">
        <f t="shared" si="8"/>
        <v>270</v>
      </c>
      <c r="Y11" s="477">
        <v>2</v>
      </c>
      <c r="Z11" s="476">
        <f t="shared" si="9"/>
        <v>540</v>
      </c>
      <c r="AB11" s="475">
        <v>19536.91</v>
      </c>
      <c r="AC11" s="476">
        <f t="shared" si="10"/>
        <v>855.14083333333474</v>
      </c>
      <c r="AD11" s="477">
        <v>2</v>
      </c>
      <c r="AE11" s="476">
        <f>AD11*AC11</f>
        <v>1710.2816666666695</v>
      </c>
      <c r="AF11" s="477">
        <v>2</v>
      </c>
      <c r="AG11" s="476">
        <f t="shared" si="11"/>
        <v>1710.2816666666695</v>
      </c>
      <c r="AH11">
        <v>2</v>
      </c>
    </row>
    <row r="12" spans="2:36" ht="15.75">
      <c r="B12" s="474" t="s">
        <v>316</v>
      </c>
      <c r="C12" s="475">
        <v>18992.577499999999</v>
      </c>
      <c r="D12" s="475">
        <v>17608.41</v>
      </c>
      <c r="E12" s="475">
        <f t="shared" si="0"/>
        <v>19075.7775</v>
      </c>
      <c r="F12" s="475">
        <f t="shared" si="1"/>
        <v>83.200000000000728</v>
      </c>
      <c r="G12" s="473"/>
      <c r="H12" s="475">
        <f t="shared" ref="H12:H28" si="12">G12*F12</f>
        <v>0</v>
      </c>
      <c r="I12" s="475">
        <v>17764.41</v>
      </c>
      <c r="J12" s="475">
        <f t="shared" si="2"/>
        <v>19244.7775</v>
      </c>
      <c r="K12" s="475">
        <f t="shared" si="3"/>
        <v>252.20000000000073</v>
      </c>
      <c r="L12" s="473"/>
      <c r="M12" s="475">
        <f t="shared" ref="M12:M28" si="13">K12*L12</f>
        <v>0</v>
      </c>
      <c r="N12" s="475">
        <v>18202.41</v>
      </c>
      <c r="O12" s="475">
        <f t="shared" si="4"/>
        <v>19719.2775</v>
      </c>
      <c r="P12" s="475">
        <v>19755.877499999999</v>
      </c>
      <c r="Q12" s="476">
        <f t="shared" si="5"/>
        <v>763.29999999999927</v>
      </c>
      <c r="R12" s="477"/>
      <c r="S12" s="476">
        <f t="shared" ref="S12:S28" si="14">R12*Q12</f>
        <v>0</v>
      </c>
      <c r="V12" t="s">
        <v>317</v>
      </c>
      <c r="W12">
        <v>26</v>
      </c>
      <c r="X12">
        <f t="shared" si="8"/>
        <v>260</v>
      </c>
      <c r="Y12" s="477">
        <v>0</v>
      </c>
      <c r="Z12" s="476">
        <f t="shared" si="9"/>
        <v>0</v>
      </c>
      <c r="AB12" s="475">
        <v>19861.759999999998</v>
      </c>
      <c r="AC12" s="476">
        <f t="shared" si="10"/>
        <v>869.18249999999898</v>
      </c>
      <c r="AD12" s="477"/>
      <c r="AE12" s="476">
        <f t="shared" ref="AE12:AE28" si="15">AD12*AC12</f>
        <v>0</v>
      </c>
      <c r="AF12" s="477"/>
      <c r="AG12" s="476">
        <f t="shared" si="11"/>
        <v>0</v>
      </c>
    </row>
    <row r="13" spans="2:36" ht="15.75">
      <c r="B13" s="474" t="s">
        <v>0</v>
      </c>
      <c r="C13" s="475">
        <v>19749.079999999998</v>
      </c>
      <c r="D13" s="475">
        <v>18310.32</v>
      </c>
      <c r="E13" s="475">
        <f t="shared" si="0"/>
        <v>19836.18</v>
      </c>
      <c r="F13" s="475">
        <f t="shared" si="1"/>
        <v>87.100000000002183</v>
      </c>
      <c r="G13" s="473"/>
      <c r="H13" s="475">
        <f t="shared" si="12"/>
        <v>0</v>
      </c>
      <c r="I13" s="475">
        <v>18472.32</v>
      </c>
      <c r="J13" s="475">
        <f t="shared" si="2"/>
        <v>20011.68</v>
      </c>
      <c r="K13" s="475">
        <f t="shared" si="3"/>
        <v>262.60000000000218</v>
      </c>
      <c r="L13" s="473"/>
      <c r="M13" s="475">
        <f t="shared" si="13"/>
        <v>0</v>
      </c>
      <c r="N13" s="475">
        <v>18927.12</v>
      </c>
      <c r="O13" s="475">
        <f t="shared" si="4"/>
        <v>20504.38</v>
      </c>
      <c r="P13" s="475">
        <v>20542.48</v>
      </c>
      <c r="Q13" s="476">
        <f t="shared" si="5"/>
        <v>793.40000000000146</v>
      </c>
      <c r="R13" s="477"/>
      <c r="S13" s="476">
        <f t="shared" si="14"/>
        <v>0</v>
      </c>
      <c r="V13" t="s">
        <v>318</v>
      </c>
      <c r="W13">
        <v>24</v>
      </c>
      <c r="X13">
        <f t="shared" si="8"/>
        <v>240</v>
      </c>
      <c r="Y13" s="477">
        <v>0</v>
      </c>
      <c r="Z13" s="476">
        <f t="shared" si="9"/>
        <v>0</v>
      </c>
      <c r="AB13" s="475">
        <v>20652.45</v>
      </c>
      <c r="AC13" s="476">
        <f t="shared" si="10"/>
        <v>903.37000000000262</v>
      </c>
      <c r="AD13" s="477">
        <v>0</v>
      </c>
      <c r="AE13" s="476">
        <f t="shared" si="15"/>
        <v>0</v>
      </c>
      <c r="AF13" s="477"/>
      <c r="AG13" s="476">
        <f t="shared" si="11"/>
        <v>0</v>
      </c>
      <c r="AJ13" t="s">
        <v>558</v>
      </c>
    </row>
    <row r="14" spans="2:36" ht="15.75">
      <c r="B14" s="474" t="s">
        <v>143</v>
      </c>
      <c r="C14" s="475">
        <v>20037.994166666667</v>
      </c>
      <c r="D14" s="475">
        <v>18578.21</v>
      </c>
      <c r="E14" s="475">
        <f t="shared" si="0"/>
        <v>20126.394166666665</v>
      </c>
      <c r="F14" s="475">
        <f t="shared" si="1"/>
        <v>88.399999999997817</v>
      </c>
      <c r="G14" s="473"/>
      <c r="H14" s="475">
        <f t="shared" si="12"/>
        <v>0</v>
      </c>
      <c r="I14" s="475">
        <v>18742.61</v>
      </c>
      <c r="J14" s="475">
        <f t="shared" si="2"/>
        <v>20304.494166666667</v>
      </c>
      <c r="K14" s="475">
        <f t="shared" si="3"/>
        <v>266.5</v>
      </c>
      <c r="L14" s="473"/>
      <c r="M14" s="475">
        <f t="shared" si="13"/>
        <v>0</v>
      </c>
      <c r="N14" s="475">
        <v>19204.61</v>
      </c>
      <c r="O14" s="475">
        <f t="shared" si="4"/>
        <v>20804.994166666667</v>
      </c>
      <c r="P14" s="475">
        <v>20843.594166666669</v>
      </c>
      <c r="Q14" s="476">
        <f t="shared" si="5"/>
        <v>805.60000000000218</v>
      </c>
      <c r="R14" s="477">
        <v>3.8</v>
      </c>
      <c r="S14" s="476">
        <f t="shared" si="14"/>
        <v>3061.2800000000079</v>
      </c>
      <c r="V14" t="s">
        <v>169</v>
      </c>
      <c r="W14">
        <v>24</v>
      </c>
      <c r="X14">
        <f t="shared" si="8"/>
        <v>240</v>
      </c>
      <c r="Y14" s="477">
        <v>3.8</v>
      </c>
      <c r="Z14" s="476">
        <f t="shared" si="9"/>
        <v>912</v>
      </c>
      <c r="AB14" s="475">
        <v>20955.27</v>
      </c>
      <c r="AC14" s="476">
        <f t="shared" si="10"/>
        <v>917.27583333333314</v>
      </c>
      <c r="AD14" s="477">
        <v>2.8</v>
      </c>
      <c r="AE14" s="476">
        <f t="shared" si="15"/>
        <v>2568.3723333333328</v>
      </c>
      <c r="AF14" s="477">
        <v>1.8</v>
      </c>
      <c r="AG14" s="476">
        <f t="shared" si="11"/>
        <v>1651.0964999999997</v>
      </c>
      <c r="AH14">
        <v>1</v>
      </c>
      <c r="AI14">
        <v>2.8</v>
      </c>
      <c r="AJ14" t="s">
        <v>559</v>
      </c>
    </row>
    <row r="15" spans="2:36" ht="15.75">
      <c r="B15" s="474" t="s">
        <v>148</v>
      </c>
      <c r="C15" s="475">
        <v>20376.189166666667</v>
      </c>
      <c r="D15" s="475">
        <v>18891.59</v>
      </c>
      <c r="E15" s="475">
        <f t="shared" si="0"/>
        <v>20465.889166666668</v>
      </c>
      <c r="F15" s="475">
        <f t="shared" si="1"/>
        <v>89.700000000000728</v>
      </c>
      <c r="G15" s="473"/>
      <c r="H15" s="475">
        <f t="shared" si="12"/>
        <v>0</v>
      </c>
      <c r="I15" s="475">
        <v>19058.39</v>
      </c>
      <c r="J15" s="475">
        <f t="shared" si="2"/>
        <v>20646.589166666665</v>
      </c>
      <c r="K15" s="475">
        <f t="shared" si="3"/>
        <v>270.39999999999782</v>
      </c>
      <c r="L15" s="473"/>
      <c r="M15" s="475">
        <f t="shared" si="13"/>
        <v>0</v>
      </c>
      <c r="N15" s="475">
        <v>19528.79</v>
      </c>
      <c r="O15" s="475">
        <f t="shared" si="4"/>
        <v>21156.189166666667</v>
      </c>
      <c r="P15" s="475">
        <v>21195.389166666668</v>
      </c>
      <c r="Q15" s="476">
        <f t="shared" si="5"/>
        <v>819.20000000000073</v>
      </c>
      <c r="R15" s="477">
        <v>6</v>
      </c>
      <c r="S15" s="476">
        <f t="shared" si="14"/>
        <v>4915.2000000000044</v>
      </c>
      <c r="V15" t="s">
        <v>319</v>
      </c>
      <c r="W15">
        <v>23</v>
      </c>
      <c r="X15">
        <f t="shared" si="8"/>
        <v>230</v>
      </c>
      <c r="Y15" s="477">
        <v>6</v>
      </c>
      <c r="Z15" s="476">
        <f t="shared" si="9"/>
        <v>1380</v>
      </c>
      <c r="AB15" s="475">
        <v>21309.07</v>
      </c>
      <c r="AC15" s="476">
        <f t="shared" si="10"/>
        <v>932.8808333333327</v>
      </c>
      <c r="AD15" s="477">
        <v>6</v>
      </c>
      <c r="AE15" s="476">
        <f t="shared" si="15"/>
        <v>5597.2849999999962</v>
      </c>
      <c r="AF15" s="477">
        <v>3</v>
      </c>
      <c r="AG15" s="476">
        <f t="shared" si="11"/>
        <v>2798.6424999999981</v>
      </c>
      <c r="AH15">
        <v>3</v>
      </c>
      <c r="AI15">
        <v>3</v>
      </c>
      <c r="AJ15" t="s">
        <v>560</v>
      </c>
    </row>
    <row r="16" spans="2:36" ht="15.75">
      <c r="B16" s="474" t="s">
        <v>101</v>
      </c>
      <c r="C16" s="475">
        <v>20738.878333333334</v>
      </c>
      <c r="D16" s="475">
        <v>19227.580000000002</v>
      </c>
      <c r="E16" s="475">
        <f t="shared" si="0"/>
        <v>20829.878333333334</v>
      </c>
      <c r="F16" s="475">
        <f t="shared" si="1"/>
        <v>91</v>
      </c>
      <c r="G16" s="473"/>
      <c r="H16" s="475">
        <f t="shared" si="12"/>
        <v>0</v>
      </c>
      <c r="I16" s="475">
        <v>19397.98</v>
      </c>
      <c r="J16" s="475">
        <f t="shared" si="2"/>
        <v>21014.478333333333</v>
      </c>
      <c r="K16" s="475">
        <f t="shared" si="3"/>
        <v>275.59999999999854</v>
      </c>
      <c r="L16" s="473"/>
      <c r="M16" s="475">
        <f t="shared" si="13"/>
        <v>0</v>
      </c>
      <c r="N16" s="475">
        <v>19875.580000000002</v>
      </c>
      <c r="O16" s="475">
        <f t="shared" si="4"/>
        <v>21531.878333333334</v>
      </c>
      <c r="P16" s="475">
        <v>21571.878333333334</v>
      </c>
      <c r="Q16" s="476">
        <f t="shared" si="5"/>
        <v>833</v>
      </c>
      <c r="R16" s="477">
        <v>11.9</v>
      </c>
      <c r="S16" s="476">
        <f t="shared" si="14"/>
        <v>9912.7000000000007</v>
      </c>
      <c r="T16" t="s">
        <v>310</v>
      </c>
      <c r="V16" t="s">
        <v>320</v>
      </c>
      <c r="W16">
        <v>23</v>
      </c>
      <c r="X16">
        <f t="shared" si="8"/>
        <v>230</v>
      </c>
      <c r="Y16" s="477">
        <v>11.9</v>
      </c>
      <c r="Z16" s="476">
        <f t="shared" si="9"/>
        <v>2737</v>
      </c>
      <c r="AB16" s="475">
        <v>21687.360000000001</v>
      </c>
      <c r="AC16" s="476">
        <f t="shared" si="10"/>
        <v>948.48166666666657</v>
      </c>
      <c r="AD16" s="477">
        <v>10</v>
      </c>
      <c r="AE16" s="476">
        <f t="shared" si="15"/>
        <v>9484.8166666666657</v>
      </c>
      <c r="AF16" s="477">
        <v>5</v>
      </c>
      <c r="AG16" s="476">
        <f t="shared" si="11"/>
        <v>4742.4083333333328</v>
      </c>
      <c r="AH16">
        <v>6</v>
      </c>
      <c r="AI16">
        <f>2*0.5+0.9+3</f>
        <v>4.9000000000000004</v>
      </c>
      <c r="AJ16" t="s">
        <v>561</v>
      </c>
    </row>
    <row r="17" spans="2:40" ht="15.75">
      <c r="B17" s="474" t="s">
        <v>116</v>
      </c>
      <c r="C17" s="475">
        <v>21534.933333333334</v>
      </c>
      <c r="D17" s="475">
        <v>19966</v>
      </c>
      <c r="E17" s="475">
        <f t="shared" si="0"/>
        <v>21629.833333333332</v>
      </c>
      <c r="F17" s="475">
        <f t="shared" si="1"/>
        <v>94.899999999997817</v>
      </c>
      <c r="G17" s="473"/>
      <c r="H17" s="475">
        <f t="shared" si="12"/>
        <v>0</v>
      </c>
      <c r="I17" s="475">
        <v>20142.400000000001</v>
      </c>
      <c r="J17" s="475">
        <f t="shared" si="2"/>
        <v>21820.933333333334</v>
      </c>
      <c r="K17" s="475">
        <f t="shared" si="3"/>
        <v>286</v>
      </c>
      <c r="L17" s="473"/>
      <c r="M17" s="475">
        <f t="shared" si="13"/>
        <v>0</v>
      </c>
      <c r="N17" s="475">
        <v>20639.2</v>
      </c>
      <c r="O17" s="475">
        <f t="shared" si="4"/>
        <v>22359.133333333335</v>
      </c>
      <c r="P17" s="475">
        <v>22400.533333333333</v>
      </c>
      <c r="Q17" s="476">
        <f t="shared" si="5"/>
        <v>865.59999999999854</v>
      </c>
      <c r="R17" s="477">
        <v>2</v>
      </c>
      <c r="S17" s="476">
        <f t="shared" si="14"/>
        <v>1731.1999999999971</v>
      </c>
      <c r="V17" t="s">
        <v>322</v>
      </c>
      <c r="W17">
        <v>22</v>
      </c>
      <c r="X17">
        <f t="shared" si="8"/>
        <v>220</v>
      </c>
      <c r="Y17" s="477">
        <v>2</v>
      </c>
      <c r="Z17" s="476">
        <f t="shared" si="9"/>
        <v>440</v>
      </c>
      <c r="AB17" s="475">
        <v>22520.59</v>
      </c>
      <c r="AC17" s="476">
        <f t="shared" si="10"/>
        <v>985.65666666666584</v>
      </c>
      <c r="AD17" s="477">
        <v>2</v>
      </c>
      <c r="AE17" s="476">
        <f t="shared" si="15"/>
        <v>1971.3133333333317</v>
      </c>
      <c r="AF17" s="477">
        <v>2</v>
      </c>
      <c r="AG17" s="476">
        <f t="shared" si="11"/>
        <v>1971.3133333333317</v>
      </c>
      <c r="AI17">
        <v>2</v>
      </c>
    </row>
    <row r="18" spans="2:40" ht="15.75">
      <c r="B18" s="474" t="s">
        <v>2</v>
      </c>
      <c r="C18" s="475">
        <v>21075.32916666667</v>
      </c>
      <c r="D18" s="475">
        <v>19539.349999999999</v>
      </c>
      <c r="E18" s="475">
        <f t="shared" si="0"/>
        <v>21167.629166666666</v>
      </c>
      <c r="F18" s="475">
        <f t="shared" si="1"/>
        <v>92.299999999995634</v>
      </c>
      <c r="G18" s="473"/>
      <c r="H18" s="475">
        <f t="shared" si="12"/>
        <v>0</v>
      </c>
      <c r="I18" s="475">
        <v>19712.150000000001</v>
      </c>
      <c r="J18" s="475">
        <f t="shared" si="2"/>
        <v>21354.82916666667</v>
      </c>
      <c r="K18" s="475">
        <f t="shared" si="3"/>
        <v>279.5</v>
      </c>
      <c r="L18" s="473"/>
      <c r="M18" s="475">
        <f t="shared" si="13"/>
        <v>0</v>
      </c>
      <c r="N18" s="475">
        <v>20198.150000000001</v>
      </c>
      <c r="O18" s="475">
        <f t="shared" si="4"/>
        <v>21881.32916666667</v>
      </c>
      <c r="P18" s="475">
        <v>21921.929166666669</v>
      </c>
      <c r="Q18" s="476">
        <f t="shared" si="5"/>
        <v>846.59999999999854</v>
      </c>
      <c r="R18" s="477">
        <v>4.63</v>
      </c>
      <c r="S18" s="476">
        <f t="shared" si="14"/>
        <v>3919.757999999993</v>
      </c>
      <c r="T18" t="s">
        <v>310</v>
      </c>
      <c r="V18" t="s">
        <v>2</v>
      </c>
      <c r="W18">
        <v>23</v>
      </c>
      <c r="X18">
        <f t="shared" si="8"/>
        <v>230</v>
      </c>
      <c r="Y18" s="477">
        <v>4.8499999999999996</v>
      </c>
      <c r="Z18" s="476">
        <f t="shared" si="9"/>
        <v>1115.5</v>
      </c>
      <c r="AB18" s="475">
        <v>22039.41</v>
      </c>
      <c r="AC18" s="476">
        <f t="shared" si="10"/>
        <v>964.08083333332979</v>
      </c>
      <c r="AD18" s="477">
        <f>10.05+1</f>
        <v>11.05</v>
      </c>
      <c r="AE18" s="476">
        <f t="shared" si="15"/>
        <v>10653.093208333295</v>
      </c>
      <c r="AF18" s="477">
        <f>10.05</f>
        <v>10.050000000000001</v>
      </c>
      <c r="AG18" s="476">
        <f t="shared" si="11"/>
        <v>9689.0123749999657</v>
      </c>
      <c r="AH18">
        <f>6+5/12*0.5+9/12*0.55+1</f>
        <v>7.6208333333333327</v>
      </c>
      <c r="AJ18" t="s">
        <v>321</v>
      </c>
    </row>
    <row r="19" spans="2:40" ht="15.75">
      <c r="B19" s="474" t="s">
        <v>157</v>
      </c>
      <c r="C19" s="475">
        <v>21577.681666666667</v>
      </c>
      <c r="D19" s="475">
        <v>20005.46</v>
      </c>
      <c r="E19" s="475">
        <f t="shared" si="0"/>
        <v>21672.581666666665</v>
      </c>
      <c r="F19" s="475">
        <f t="shared" si="1"/>
        <v>94.899999999997817</v>
      </c>
      <c r="G19" s="473"/>
      <c r="H19" s="475">
        <f t="shared" si="12"/>
        <v>0</v>
      </c>
      <c r="I19" s="475">
        <v>20183.060000000001</v>
      </c>
      <c r="J19" s="475">
        <f t="shared" si="2"/>
        <v>21864.98166666667</v>
      </c>
      <c r="K19" s="475">
        <f t="shared" si="3"/>
        <v>287.30000000000291</v>
      </c>
      <c r="L19" s="473"/>
      <c r="M19" s="475">
        <f t="shared" si="13"/>
        <v>0</v>
      </c>
      <c r="N19" s="475">
        <v>20679.86</v>
      </c>
      <c r="O19" s="475">
        <f t="shared" si="4"/>
        <v>22403.181666666667</v>
      </c>
      <c r="P19" s="475">
        <v>22444.881666666668</v>
      </c>
      <c r="Q19" s="476">
        <f t="shared" si="5"/>
        <v>867.20000000000073</v>
      </c>
      <c r="R19" s="477">
        <v>2.5</v>
      </c>
      <c r="S19" s="476">
        <f t="shared" si="14"/>
        <v>2168.0000000000018</v>
      </c>
      <c r="V19" t="s">
        <v>157</v>
      </c>
      <c r="W19">
        <v>22</v>
      </c>
      <c r="X19">
        <f t="shared" si="8"/>
        <v>220</v>
      </c>
      <c r="Y19" s="477">
        <v>2.5</v>
      </c>
      <c r="Z19" s="476">
        <f t="shared" si="9"/>
        <v>550</v>
      </c>
      <c r="AB19" s="475">
        <v>22565.03</v>
      </c>
      <c r="AC19" s="476">
        <f t="shared" si="10"/>
        <v>987.34833333333154</v>
      </c>
      <c r="AD19" s="477">
        <v>2.5</v>
      </c>
      <c r="AE19" s="476">
        <f t="shared" si="15"/>
        <v>2468.3708333333288</v>
      </c>
      <c r="AF19" s="477">
        <v>1.5</v>
      </c>
      <c r="AG19" s="476">
        <f t="shared" si="11"/>
        <v>1481.0224999999973</v>
      </c>
      <c r="AH19">
        <v>2.5</v>
      </c>
      <c r="AJ19" t="s">
        <v>562</v>
      </c>
    </row>
    <row r="20" spans="2:40" ht="15.75">
      <c r="B20" s="474" t="s">
        <v>159</v>
      </c>
      <c r="C20" s="475">
        <v>22178.671666666665</v>
      </c>
      <c r="D20" s="475">
        <v>20562.62</v>
      </c>
      <c r="E20" s="475">
        <f t="shared" si="0"/>
        <v>22276.171666666665</v>
      </c>
      <c r="F20" s="475">
        <f t="shared" si="1"/>
        <v>97.5</v>
      </c>
      <c r="G20" s="473"/>
      <c r="H20" s="475">
        <f t="shared" si="12"/>
        <v>0</v>
      </c>
      <c r="I20" s="475">
        <v>20745.02</v>
      </c>
      <c r="J20" s="475">
        <f t="shared" si="2"/>
        <v>22473.771666666667</v>
      </c>
      <c r="K20" s="475">
        <f t="shared" si="3"/>
        <v>295.10000000000218</v>
      </c>
      <c r="L20" s="473"/>
      <c r="M20" s="475">
        <f t="shared" si="13"/>
        <v>0</v>
      </c>
      <c r="N20" s="475">
        <v>21256.22</v>
      </c>
      <c r="O20" s="475">
        <f t="shared" si="4"/>
        <v>23027.571666666667</v>
      </c>
      <c r="P20" s="475">
        <v>23070.371666666666</v>
      </c>
      <c r="Q20" s="476">
        <f t="shared" si="5"/>
        <v>891.70000000000073</v>
      </c>
      <c r="R20" s="477">
        <v>5</v>
      </c>
      <c r="S20" s="476">
        <f t="shared" si="14"/>
        <v>4458.5000000000036</v>
      </c>
      <c r="V20" t="s">
        <v>323</v>
      </c>
      <c r="W20">
        <v>20</v>
      </c>
      <c r="X20">
        <f t="shared" si="8"/>
        <v>200</v>
      </c>
      <c r="Y20" s="477">
        <v>5</v>
      </c>
      <c r="Z20" s="476">
        <f t="shared" si="9"/>
        <v>1000</v>
      </c>
      <c r="AB20" s="475">
        <v>23193.97</v>
      </c>
      <c r="AC20" s="476">
        <f t="shared" si="10"/>
        <v>1015.2983333333359</v>
      </c>
      <c r="AD20" s="477">
        <v>5</v>
      </c>
      <c r="AE20" s="476">
        <f t="shared" si="15"/>
        <v>5076.4916666666795</v>
      </c>
      <c r="AF20" s="477">
        <v>5</v>
      </c>
      <c r="AG20" s="476">
        <f t="shared" si="11"/>
        <v>5076.4916666666795</v>
      </c>
      <c r="AH20">
        <v>5</v>
      </c>
    </row>
    <row r="21" spans="2:40" ht="15.75">
      <c r="B21" s="474" t="s">
        <v>110</v>
      </c>
      <c r="C21" s="475">
        <v>22880.119166666667</v>
      </c>
      <c r="D21" s="475">
        <v>21212.51</v>
      </c>
      <c r="E21" s="475">
        <f t="shared" si="0"/>
        <v>22980.219166666666</v>
      </c>
      <c r="F21" s="475">
        <f t="shared" si="1"/>
        <v>100.09999999999854</v>
      </c>
      <c r="G21" s="473"/>
      <c r="H21" s="475">
        <f t="shared" si="12"/>
        <v>0</v>
      </c>
      <c r="I21" s="475">
        <v>21400.91</v>
      </c>
      <c r="J21" s="475">
        <f t="shared" si="2"/>
        <v>23184.319166666664</v>
      </c>
      <c r="K21" s="475">
        <f t="shared" si="3"/>
        <v>304.19999999999709</v>
      </c>
      <c r="L21" s="473"/>
      <c r="M21" s="475">
        <f t="shared" si="13"/>
        <v>0</v>
      </c>
      <c r="N21" s="475">
        <v>21927.71</v>
      </c>
      <c r="O21" s="475">
        <f t="shared" si="4"/>
        <v>23755.019166666665</v>
      </c>
      <c r="P21" s="475">
        <v>23799.219166666666</v>
      </c>
      <c r="Q21" s="476">
        <f t="shared" si="5"/>
        <v>919.09999999999854</v>
      </c>
      <c r="R21" s="477">
        <v>2</v>
      </c>
      <c r="S21" s="476">
        <f t="shared" si="14"/>
        <v>1838.1999999999971</v>
      </c>
      <c r="V21" t="s">
        <v>324</v>
      </c>
      <c r="W21">
        <v>18</v>
      </c>
      <c r="X21">
        <f t="shared" si="8"/>
        <v>180</v>
      </c>
      <c r="Y21" s="477">
        <v>2</v>
      </c>
      <c r="Z21" s="476">
        <f t="shared" si="9"/>
        <v>360</v>
      </c>
      <c r="AB21" s="475">
        <v>23926.62</v>
      </c>
      <c r="AC21" s="476">
        <f t="shared" si="10"/>
        <v>1046.5008333333317</v>
      </c>
      <c r="AD21" s="477">
        <v>2</v>
      </c>
      <c r="AE21" s="476">
        <f t="shared" si="15"/>
        <v>2093.0016666666634</v>
      </c>
      <c r="AF21" s="477">
        <v>1</v>
      </c>
      <c r="AG21" s="476">
        <f t="shared" si="11"/>
        <v>1046.5008333333317</v>
      </c>
      <c r="AH21">
        <v>2</v>
      </c>
      <c r="AJ21" t="s">
        <v>563</v>
      </c>
    </row>
    <row r="22" spans="2:40" ht="15.75">
      <c r="B22" s="474" t="s">
        <v>99</v>
      </c>
      <c r="C22" s="475">
        <v>23726.43</v>
      </c>
      <c r="D22" s="475">
        <v>21997.32</v>
      </c>
      <c r="E22" s="475">
        <f t="shared" si="0"/>
        <v>23830.43</v>
      </c>
      <c r="F22" s="475">
        <f t="shared" si="1"/>
        <v>104</v>
      </c>
      <c r="G22" s="473"/>
      <c r="H22" s="475">
        <f t="shared" si="12"/>
        <v>0</v>
      </c>
      <c r="I22" s="475">
        <v>22192.92</v>
      </c>
      <c r="J22" s="475">
        <f t="shared" si="2"/>
        <v>24042.329999999998</v>
      </c>
      <c r="K22" s="475">
        <f t="shared" si="3"/>
        <v>315.89999999999782</v>
      </c>
      <c r="L22" s="473"/>
      <c r="M22" s="475">
        <f t="shared" si="13"/>
        <v>0</v>
      </c>
      <c r="N22" s="475">
        <v>22738.92</v>
      </c>
      <c r="O22" s="475">
        <f t="shared" si="4"/>
        <v>24633.829999999998</v>
      </c>
      <c r="P22" s="475">
        <v>24679.73</v>
      </c>
      <c r="Q22" s="476">
        <f t="shared" si="5"/>
        <v>953.29999999999927</v>
      </c>
      <c r="R22" s="477">
        <f>9.45+4/12*50%</f>
        <v>9.6166666666666654</v>
      </c>
      <c r="S22" s="476">
        <f t="shared" si="14"/>
        <v>9167.5683333333254</v>
      </c>
      <c r="V22" t="s">
        <v>114</v>
      </c>
      <c r="W22">
        <v>17</v>
      </c>
      <c r="X22">
        <f t="shared" si="8"/>
        <v>170</v>
      </c>
      <c r="Y22" s="477">
        <f>9.45+2/10*50%</f>
        <v>9.5499999999999989</v>
      </c>
      <c r="Z22" s="476">
        <f t="shared" si="9"/>
        <v>1623.4999999999998</v>
      </c>
      <c r="AB22" s="475">
        <v>24811.8</v>
      </c>
      <c r="AC22" s="476">
        <f t="shared" si="10"/>
        <v>1085.369999999999</v>
      </c>
      <c r="AD22" s="477">
        <v>8.6999999999999993</v>
      </c>
      <c r="AE22" s="476">
        <f t="shared" si="15"/>
        <v>9442.71899999999</v>
      </c>
      <c r="AF22" s="477">
        <v>7</v>
      </c>
      <c r="AG22" s="476">
        <f t="shared" si="11"/>
        <v>7597.5899999999929</v>
      </c>
      <c r="AH22">
        <f>7.7-0.7</f>
        <v>7</v>
      </c>
      <c r="AJ22" t="s">
        <v>564</v>
      </c>
    </row>
    <row r="23" spans="2:40" ht="15.75">
      <c r="B23" s="474" t="s">
        <v>121</v>
      </c>
      <c r="C23" s="475">
        <v>22930.602500000001</v>
      </c>
      <c r="D23" s="475">
        <v>21259.11</v>
      </c>
      <c r="E23" s="475">
        <f t="shared" si="0"/>
        <v>23030.702499999999</v>
      </c>
      <c r="F23" s="475">
        <f t="shared" si="1"/>
        <v>100.09999999999854</v>
      </c>
      <c r="G23" s="473"/>
      <c r="H23" s="475">
        <f t="shared" si="12"/>
        <v>0</v>
      </c>
      <c r="I23" s="475">
        <v>21447.51</v>
      </c>
      <c r="J23" s="475">
        <f t="shared" si="2"/>
        <v>23234.802499999998</v>
      </c>
      <c r="K23" s="475">
        <f t="shared" si="3"/>
        <v>304.19999999999709</v>
      </c>
      <c r="L23" s="473"/>
      <c r="M23" s="475">
        <f t="shared" si="13"/>
        <v>0</v>
      </c>
      <c r="N23" s="475">
        <v>21976.71</v>
      </c>
      <c r="O23" s="475">
        <f t="shared" si="4"/>
        <v>23808.102500000001</v>
      </c>
      <c r="P23" s="475">
        <v>23852.202500000003</v>
      </c>
      <c r="Q23" s="476">
        <f t="shared" si="5"/>
        <v>921.60000000000218</v>
      </c>
      <c r="R23" s="477">
        <v>0.75</v>
      </c>
      <c r="S23" s="476">
        <f t="shared" si="14"/>
        <v>691.20000000000164</v>
      </c>
      <c r="V23" t="s">
        <v>325</v>
      </c>
      <c r="W23">
        <v>19</v>
      </c>
      <c r="X23">
        <f t="shared" si="8"/>
        <v>190</v>
      </c>
      <c r="Y23" s="477">
        <v>0.75</v>
      </c>
      <c r="Z23" s="476">
        <f t="shared" si="9"/>
        <v>142.5</v>
      </c>
      <c r="AB23" s="475">
        <v>23980.09</v>
      </c>
      <c r="AC23" s="476">
        <f t="shared" si="10"/>
        <v>1049.4874999999993</v>
      </c>
      <c r="AD23" s="477">
        <f>1.58</f>
        <v>1.58</v>
      </c>
      <c r="AE23" s="476">
        <f t="shared" si="15"/>
        <v>1658.190249999999</v>
      </c>
      <c r="AF23" s="477">
        <f>1.58</f>
        <v>1.58</v>
      </c>
      <c r="AG23" s="476">
        <f t="shared" si="11"/>
        <v>1658.190249999999</v>
      </c>
    </row>
    <row r="24" spans="2:40" ht="15.75">
      <c r="B24" s="474" t="s">
        <v>112</v>
      </c>
      <c r="C24" s="475">
        <v>24054.214166666665</v>
      </c>
      <c r="D24" s="475">
        <v>22301.09</v>
      </c>
      <c r="E24" s="475">
        <f t="shared" si="0"/>
        <v>24159.514166666668</v>
      </c>
      <c r="F24" s="475">
        <f t="shared" si="1"/>
        <v>105.30000000000291</v>
      </c>
      <c r="G24" s="473"/>
      <c r="H24" s="475">
        <f t="shared" si="12"/>
        <v>0</v>
      </c>
      <c r="I24" s="475">
        <v>22499.09</v>
      </c>
      <c r="J24" s="475">
        <f t="shared" si="2"/>
        <v>24374.014166666668</v>
      </c>
      <c r="K24" s="475">
        <f t="shared" si="3"/>
        <v>319.80000000000291</v>
      </c>
      <c r="L24" s="473"/>
      <c r="M24" s="475">
        <f t="shared" si="13"/>
        <v>0</v>
      </c>
      <c r="N24" s="475">
        <v>23053.49</v>
      </c>
      <c r="O24" s="475">
        <f t="shared" si="4"/>
        <v>24974.614166666666</v>
      </c>
      <c r="P24" s="475">
        <v>25021.014166666664</v>
      </c>
      <c r="Q24" s="476">
        <f t="shared" si="5"/>
        <v>966.79999999999927</v>
      </c>
      <c r="R24" s="477">
        <v>2</v>
      </c>
      <c r="S24" s="476">
        <f t="shared" si="14"/>
        <v>1933.5999999999985</v>
      </c>
      <c r="V24" t="s">
        <v>326</v>
      </c>
      <c r="W24">
        <v>16</v>
      </c>
      <c r="X24">
        <f t="shared" si="8"/>
        <v>160</v>
      </c>
      <c r="Y24" s="477">
        <v>2</v>
      </c>
      <c r="Z24" s="476">
        <f t="shared" si="9"/>
        <v>320</v>
      </c>
      <c r="AB24" s="475">
        <v>25155.05</v>
      </c>
      <c r="AC24" s="476">
        <f t="shared" si="10"/>
        <v>1100.8358333333344</v>
      </c>
      <c r="AD24" s="477">
        <v>2</v>
      </c>
      <c r="AE24" s="476">
        <f t="shared" si="15"/>
        <v>2201.6716666666689</v>
      </c>
      <c r="AF24" s="477">
        <v>2</v>
      </c>
      <c r="AG24" s="476">
        <f t="shared" si="11"/>
        <v>2201.6716666666689</v>
      </c>
      <c r="AH24">
        <v>2</v>
      </c>
    </row>
    <row r="25" spans="2:40" ht="15.75">
      <c r="B25" s="474" t="s">
        <v>1</v>
      </c>
      <c r="C25" s="475">
        <v>26366.318333333333</v>
      </c>
      <c r="D25" s="475">
        <v>24444.94</v>
      </c>
      <c r="E25" s="475">
        <f t="shared" si="0"/>
        <v>26482.01833333333</v>
      </c>
      <c r="F25" s="475">
        <f t="shared" si="1"/>
        <v>115.69999999999709</v>
      </c>
      <c r="G25" s="473"/>
      <c r="H25" s="475">
        <f t="shared" si="12"/>
        <v>0</v>
      </c>
      <c r="I25" s="475">
        <v>24660.94</v>
      </c>
      <c r="J25" s="475">
        <f t="shared" si="2"/>
        <v>26716.018333333333</v>
      </c>
      <c r="K25" s="475">
        <f t="shared" si="3"/>
        <v>349.70000000000073</v>
      </c>
      <c r="L25" s="473"/>
      <c r="M25" s="475">
        <f t="shared" si="13"/>
        <v>0</v>
      </c>
      <c r="N25" s="475">
        <v>25269.34</v>
      </c>
      <c r="O25" s="475">
        <f t="shared" si="4"/>
        <v>27375.118333333332</v>
      </c>
      <c r="P25" s="475">
        <v>27425.818333333336</v>
      </c>
      <c r="Q25" s="476">
        <f t="shared" si="5"/>
        <v>1059.5000000000036</v>
      </c>
      <c r="R25" s="477">
        <v>3.72</v>
      </c>
      <c r="S25" s="476">
        <f t="shared" si="14"/>
        <v>3941.3400000000138</v>
      </c>
      <c r="V25" t="s">
        <v>327</v>
      </c>
      <c r="W25">
        <v>9</v>
      </c>
      <c r="X25">
        <f t="shared" si="8"/>
        <v>90</v>
      </c>
      <c r="Y25" s="477">
        <v>3.72</v>
      </c>
      <c r="Z25" s="476">
        <f t="shared" si="9"/>
        <v>334.8</v>
      </c>
      <c r="AB25" s="475">
        <v>27572.85</v>
      </c>
      <c r="AC25" s="476">
        <f t="shared" si="10"/>
        <v>1206.5316666666658</v>
      </c>
      <c r="AD25" s="477">
        <v>3</v>
      </c>
      <c r="AE25" s="476">
        <f t="shared" si="15"/>
        <v>3619.5949999999975</v>
      </c>
      <c r="AF25" s="477">
        <v>3</v>
      </c>
      <c r="AG25" s="476">
        <f t="shared" si="11"/>
        <v>3619.5949999999975</v>
      </c>
      <c r="AH25">
        <f>2+0.7222</f>
        <v>2.7222</v>
      </c>
      <c r="AI25">
        <f>9/12</f>
        <v>0.75</v>
      </c>
    </row>
    <row r="26" spans="2:40" ht="15.75">
      <c r="B26" s="474" t="s">
        <v>128</v>
      </c>
      <c r="C26" s="475">
        <v>27492.57333333333</v>
      </c>
      <c r="D26" s="475">
        <v>25489.360000000001</v>
      </c>
      <c r="E26" s="475">
        <f t="shared" si="0"/>
        <v>27613.473333333332</v>
      </c>
      <c r="F26" s="475">
        <f t="shared" si="1"/>
        <v>120.90000000000146</v>
      </c>
      <c r="G26" s="473"/>
      <c r="H26" s="475">
        <f t="shared" si="12"/>
        <v>0</v>
      </c>
      <c r="I26" s="475">
        <v>25714.959999999999</v>
      </c>
      <c r="J26" s="475">
        <f t="shared" si="2"/>
        <v>27857.873333333333</v>
      </c>
      <c r="K26" s="475">
        <f t="shared" si="3"/>
        <v>365.30000000000291</v>
      </c>
      <c r="L26" s="473"/>
      <c r="M26" s="475">
        <f t="shared" si="13"/>
        <v>0</v>
      </c>
      <c r="N26" s="475">
        <v>26348.560000000001</v>
      </c>
      <c r="O26" s="475">
        <f t="shared" si="4"/>
        <v>28544.273333333338</v>
      </c>
      <c r="P26" s="475">
        <v>28597.273333333334</v>
      </c>
      <c r="Q26" s="476">
        <f t="shared" si="5"/>
        <v>1104.7000000000044</v>
      </c>
      <c r="R26" s="477">
        <v>7.41</v>
      </c>
      <c r="S26" s="476">
        <f t="shared" si="14"/>
        <v>8185.8270000000321</v>
      </c>
      <c r="V26" t="s">
        <v>128</v>
      </c>
      <c r="W26">
        <v>6</v>
      </c>
      <c r="X26">
        <f t="shared" si="8"/>
        <v>60</v>
      </c>
      <c r="Y26" s="477">
        <v>7.3</v>
      </c>
      <c r="Z26" s="476">
        <f t="shared" si="9"/>
        <v>438</v>
      </c>
      <c r="AB26" s="475">
        <v>28750.45</v>
      </c>
      <c r="AC26" s="476">
        <f t="shared" si="10"/>
        <v>1257.8766666666706</v>
      </c>
      <c r="AD26" s="477">
        <v>8</v>
      </c>
      <c r="AE26" s="476">
        <f t="shared" si="15"/>
        <v>10063.013333333365</v>
      </c>
      <c r="AF26" s="477">
        <v>8</v>
      </c>
      <c r="AG26" s="476">
        <f t="shared" si="11"/>
        <v>10063.013333333365</v>
      </c>
      <c r="AH26">
        <v>6</v>
      </c>
      <c r="AI26">
        <v>1</v>
      </c>
    </row>
    <row r="27" spans="2:40" ht="15.75">
      <c r="B27" s="474" t="s">
        <v>126</v>
      </c>
      <c r="C27" s="475">
        <v>28720.098333333332</v>
      </c>
      <c r="D27" s="475">
        <v>26627.26</v>
      </c>
      <c r="E27" s="475">
        <f t="shared" si="0"/>
        <v>28846.19833333333</v>
      </c>
      <c r="F27" s="475">
        <f t="shared" si="1"/>
        <v>126.09999999999854</v>
      </c>
      <c r="G27" s="473"/>
      <c r="H27" s="475">
        <f t="shared" si="12"/>
        <v>0</v>
      </c>
      <c r="I27" s="475">
        <v>26863.66</v>
      </c>
      <c r="J27" s="475">
        <f t="shared" si="2"/>
        <v>29102.298333333332</v>
      </c>
      <c r="K27" s="475">
        <f t="shared" si="3"/>
        <v>382.20000000000073</v>
      </c>
      <c r="L27" s="473"/>
      <c r="M27" s="475">
        <f t="shared" si="13"/>
        <v>0</v>
      </c>
      <c r="N27" s="475">
        <v>27524.86</v>
      </c>
      <c r="O27" s="475">
        <f t="shared" si="4"/>
        <v>29818.598333333332</v>
      </c>
      <c r="P27" s="475">
        <v>29874.098333333335</v>
      </c>
      <c r="Q27" s="476">
        <f t="shared" si="5"/>
        <v>1154.0000000000036</v>
      </c>
      <c r="R27" s="477">
        <v>1</v>
      </c>
      <c r="S27" s="476">
        <f t="shared" si="14"/>
        <v>1154.0000000000036</v>
      </c>
      <c r="V27" t="s">
        <v>328</v>
      </c>
      <c r="W27">
        <v>2</v>
      </c>
      <c r="X27">
        <f t="shared" si="8"/>
        <v>20</v>
      </c>
      <c r="Y27" s="477">
        <v>1</v>
      </c>
      <c r="Z27" s="476">
        <f t="shared" si="9"/>
        <v>20</v>
      </c>
      <c r="AB27" s="475">
        <v>30034.01</v>
      </c>
      <c r="AC27" s="476">
        <f t="shared" si="10"/>
        <v>1313.9116666666669</v>
      </c>
      <c r="AD27" s="477">
        <v>1</v>
      </c>
      <c r="AE27" s="476">
        <f t="shared" si="15"/>
        <v>1313.9116666666669</v>
      </c>
      <c r="AF27" s="477">
        <v>1</v>
      </c>
      <c r="AG27" s="476">
        <f t="shared" si="11"/>
        <v>1313.9116666666669</v>
      </c>
      <c r="AH27">
        <v>1</v>
      </c>
    </row>
    <row r="28" spans="2:40" ht="15.75">
      <c r="B28" s="474" t="s">
        <v>171</v>
      </c>
      <c r="C28" s="475">
        <v>30704.613333333335</v>
      </c>
      <c r="D28" s="475">
        <v>28467.52</v>
      </c>
      <c r="E28" s="475">
        <f t="shared" si="0"/>
        <v>30839.813333333335</v>
      </c>
      <c r="F28" s="475">
        <f t="shared" si="1"/>
        <v>135.20000000000073</v>
      </c>
      <c r="G28" s="473"/>
      <c r="H28" s="475">
        <f t="shared" si="12"/>
        <v>0</v>
      </c>
      <c r="I28" s="475">
        <v>28719.52</v>
      </c>
      <c r="J28" s="475">
        <f t="shared" si="2"/>
        <v>31112.813333333335</v>
      </c>
      <c r="K28" s="475">
        <f t="shared" si="3"/>
        <v>408.20000000000073</v>
      </c>
      <c r="L28" s="473"/>
      <c r="M28" s="475">
        <f t="shared" si="13"/>
        <v>0</v>
      </c>
      <c r="N28" s="475">
        <v>29426.32</v>
      </c>
      <c r="O28" s="475">
        <f t="shared" si="4"/>
        <v>31878.513333333332</v>
      </c>
      <c r="P28" s="475">
        <v>31937.813333333328</v>
      </c>
      <c r="Q28" s="476">
        <f t="shared" si="5"/>
        <v>1233.1999999999935</v>
      </c>
      <c r="R28" s="477">
        <v>1</v>
      </c>
      <c r="S28" s="476">
        <f t="shared" si="14"/>
        <v>1233.1999999999935</v>
      </c>
      <c r="V28" s="409" t="s">
        <v>329</v>
      </c>
      <c r="W28">
        <v>2</v>
      </c>
      <c r="X28">
        <f t="shared" si="8"/>
        <v>20</v>
      </c>
      <c r="Y28" s="477">
        <v>1</v>
      </c>
      <c r="Z28" s="476">
        <f t="shared" si="9"/>
        <v>20</v>
      </c>
      <c r="AB28" s="475">
        <v>32108.74</v>
      </c>
      <c r="AC28" s="476">
        <f t="shared" si="10"/>
        <v>1404.126666666667</v>
      </c>
      <c r="AD28" s="477">
        <v>1</v>
      </c>
      <c r="AE28" s="476">
        <f t="shared" si="15"/>
        <v>1404.126666666667</v>
      </c>
      <c r="AF28" s="477">
        <v>1</v>
      </c>
      <c r="AG28" s="476">
        <f t="shared" si="11"/>
        <v>1404.126666666667</v>
      </c>
      <c r="AI28">
        <v>1</v>
      </c>
    </row>
    <row r="29" spans="2:40">
      <c r="H29" s="476">
        <f>SUM(H6:H28)</f>
        <v>0</v>
      </c>
      <c r="I29" s="476">
        <f t="shared" ref="I29:O29" si="16">SUM(I6:I28)</f>
        <v>470770.35000000003</v>
      </c>
      <c r="J29" s="476"/>
      <c r="K29" s="476"/>
      <c r="L29" s="476"/>
      <c r="M29" s="476">
        <f t="shared" si="16"/>
        <v>0</v>
      </c>
      <c r="N29" s="476">
        <f t="shared" si="16"/>
        <v>482369.55000000005</v>
      </c>
      <c r="O29" s="476">
        <f t="shared" si="16"/>
        <v>522567.01249999995</v>
      </c>
      <c r="P29" s="476"/>
      <c r="Q29" s="476"/>
      <c r="R29" s="476"/>
      <c r="S29" s="476">
        <f t="shared" ref="S29:Z29" si="17">SUM(S6:S28)</f>
        <v>59813.573333333377</v>
      </c>
      <c r="T29" s="476"/>
      <c r="U29" s="476"/>
      <c r="V29" s="476"/>
      <c r="W29" s="476"/>
      <c r="X29" s="476"/>
      <c r="Y29" s="476"/>
      <c r="Z29" s="476">
        <f t="shared" si="17"/>
        <v>11933.3</v>
      </c>
      <c r="AB29" s="476"/>
      <c r="AC29" s="476"/>
      <c r="AD29" s="476"/>
      <c r="AE29" s="476">
        <f>SUM(AE6:AE28)</f>
        <v>71326.253958333313</v>
      </c>
      <c r="AF29" s="476"/>
      <c r="AG29" s="476">
        <f>SUM(AG6:AG28)</f>
        <v>58024.868291666658</v>
      </c>
    </row>
    <row r="30" spans="2:40" ht="30">
      <c r="P30" t="s">
        <v>330</v>
      </c>
      <c r="R30" s="46" t="s">
        <v>331</v>
      </c>
      <c r="AB30" t="s">
        <v>330</v>
      </c>
    </row>
    <row r="31" spans="2:40">
      <c r="T31" s="478">
        <f>S29+P32+P34+P36+R32+R34+R36+Z29</f>
        <v>95423.229733266737</v>
      </c>
      <c r="U31" s="1" t="s">
        <v>332</v>
      </c>
      <c r="V31" s="1"/>
      <c r="W31" s="1"/>
      <c r="X31" s="1"/>
      <c r="Z31" s="476"/>
      <c r="AE31" s="479">
        <f>AE29+AB32+AB34+AB36</f>
        <v>94877.373096408308</v>
      </c>
      <c r="AF31" s="1" t="s">
        <v>333</v>
      </c>
      <c r="AN31" s="487" t="e">
        <f>AE31-#REF!</f>
        <v>#REF!</v>
      </c>
    </row>
    <row r="32" spans="2:40">
      <c r="B32" t="s">
        <v>334</v>
      </c>
      <c r="P32" s="476">
        <f>(S29)*23.8%</f>
        <v>14235.630453333344</v>
      </c>
      <c r="R32" s="476">
        <f>Z29*23.8%</f>
        <v>2840.1253999999999</v>
      </c>
      <c r="AB32" s="476">
        <f>(AE29)*23.8%</f>
        <v>16975.648442083329</v>
      </c>
    </row>
    <row r="34" spans="2:34">
      <c r="B34" t="s">
        <v>335</v>
      </c>
      <c r="P34" s="480">
        <f>(S29*80%)*2.88%</f>
        <v>1378.1047296000011</v>
      </c>
      <c r="R34" s="476">
        <f>(Z29*80%)*2.88%</f>
        <v>274.94323199999997</v>
      </c>
      <c r="AB34" s="480">
        <f>(AE29*80%)*2.88%</f>
        <v>1643.3568911999996</v>
      </c>
    </row>
    <row r="36" spans="2:34">
      <c r="B36" s="46" t="s">
        <v>336</v>
      </c>
      <c r="P36" s="480">
        <f>'[1]DIP. IN SERV. MENO irap'!S29*8.5%</f>
        <v>4170.2870850000045</v>
      </c>
      <c r="R36" s="480">
        <f>'[1]DIP. IN SERV. MENO irap'!Z29*8.5%</f>
        <v>777.26549999999997</v>
      </c>
      <c r="AB36" s="480">
        <f>AG29*8.5%</f>
        <v>4932.1138047916666</v>
      </c>
    </row>
    <row r="37" spans="2:34">
      <c r="B37" s="46"/>
      <c r="P37" s="480"/>
      <c r="X37" s="3"/>
      <c r="AB37" s="480"/>
    </row>
    <row r="38" spans="2:34">
      <c r="B38" s="46"/>
      <c r="P38" s="481">
        <f>SUM(P32:P37)</f>
        <v>19784.022267933349</v>
      </c>
      <c r="R38" s="476">
        <f>SUM(R32:R37)</f>
        <v>3892.334132</v>
      </c>
      <c r="T38" s="476"/>
      <c r="V38" s="476"/>
      <c r="X38" s="482"/>
      <c r="AB38" s="481">
        <f>SUM(AB32:AB37)</f>
        <v>23551.119138074995</v>
      </c>
    </row>
    <row r="39" spans="2:34">
      <c r="B39" s="46"/>
      <c r="P39" s="480"/>
      <c r="X39" s="3"/>
    </row>
    <row r="40" spans="2:34">
      <c r="B40" s="46"/>
      <c r="P40" s="480"/>
    </row>
    <row r="41" spans="2:34">
      <c r="B41" s="46"/>
      <c r="P41" s="480"/>
      <c r="AE41" s="487">
        <f>0.08*AC23</f>
        <v>83.958999999999946</v>
      </c>
    </row>
    <row r="42" spans="2:34">
      <c r="B42" s="46"/>
      <c r="P42" s="480"/>
      <c r="AE42" s="487">
        <f>3.75*AC18</f>
        <v>3615.3031249999867</v>
      </c>
    </row>
    <row r="43" spans="2:34">
      <c r="B43" s="46"/>
      <c r="P43" s="480"/>
    </row>
    <row r="44" spans="2:34">
      <c r="B44" s="46"/>
      <c r="P44" s="480"/>
      <c r="AE44" s="487">
        <f>AE41+AE42</f>
        <v>3699.2621249999866</v>
      </c>
      <c r="AG44" s="487">
        <f>AE44*23.8%</f>
        <v>880.42438574999687</v>
      </c>
    </row>
    <row r="45" spans="2:34" ht="22.5" customHeight="1">
      <c r="AG45" s="487">
        <f>(AE44*80%)*2.88%</f>
        <v>85.230999359999686</v>
      </c>
    </row>
    <row r="46" spans="2:34">
      <c r="AG46" s="487">
        <f>AE44*8.5%</f>
        <v>314.43728062499889</v>
      </c>
    </row>
    <row r="47" spans="2:34">
      <c r="AH47" s="487">
        <f>AE44+AG44+AG45+AG46</f>
        <v>4979.3547907349812</v>
      </c>
    </row>
    <row r="49" spans="16:24">
      <c r="P49" t="s">
        <v>337</v>
      </c>
      <c r="Q49">
        <f>3.5/12</f>
        <v>0.29166666666666669</v>
      </c>
    </row>
    <row r="50" spans="16:24">
      <c r="P50" t="s">
        <v>338</v>
      </c>
      <c r="Q50">
        <f>2.5/12</f>
        <v>0.20833333333333334</v>
      </c>
      <c r="S50">
        <f>Q49+Q52+Q53+1+Q51+1+1+0.21</f>
        <v>4.6350000000000007</v>
      </c>
      <c r="T50">
        <f>7+0.7+0.75+(0.5*4/12)</f>
        <v>8.6166666666666654</v>
      </c>
      <c r="W50">
        <f>1*72.22%</f>
        <v>0.72219999999999995</v>
      </c>
    </row>
    <row r="51" spans="16:24">
      <c r="P51" t="s">
        <v>339</v>
      </c>
      <c r="Q51">
        <f>4/12</f>
        <v>0.33333333333333331</v>
      </c>
      <c r="W51" t="s">
        <v>340</v>
      </c>
      <c r="X51">
        <f>5/12</f>
        <v>0.41666666666666669</v>
      </c>
    </row>
    <row r="52" spans="16:24">
      <c r="P52" t="s">
        <v>341</v>
      </c>
      <c r="Q52">
        <f>0.5*(6/12)</f>
        <v>0.25</v>
      </c>
      <c r="S52" t="s">
        <v>342</v>
      </c>
      <c r="T52">
        <f>7+0.7+0.75+0.1</f>
        <v>8.5499999999999989</v>
      </c>
      <c r="W52" t="s">
        <v>343</v>
      </c>
      <c r="X52">
        <f>4/12*50%</f>
        <v>0.16666666666666666</v>
      </c>
    </row>
    <row r="53" spans="16:24" ht="15.75">
      <c r="P53" t="s">
        <v>344</v>
      </c>
      <c r="Q53">
        <f>1*55%</f>
        <v>0.55000000000000004</v>
      </c>
      <c r="S53" t="s">
        <v>345</v>
      </c>
      <c r="T53" s="477">
        <f>7.41-0.41+(3/10)</f>
        <v>7.3</v>
      </c>
    </row>
  </sheetData>
  <mergeCells count="5">
    <mergeCell ref="D3:E3"/>
    <mergeCell ref="I3:J3"/>
    <mergeCell ref="N3:O3"/>
    <mergeCell ref="P3:Q3"/>
    <mergeCell ref="AB3:AC3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21"/>
  <sheetViews>
    <sheetView topLeftCell="O50" workbookViewId="0">
      <selection activeCell="AB53" sqref="AB53"/>
    </sheetView>
  </sheetViews>
  <sheetFormatPr defaultRowHeight="12.75"/>
  <cols>
    <col min="1" max="1" width="10.28515625" style="495" customWidth="1"/>
    <col min="2" max="3" width="15.140625" style="495" customWidth="1"/>
    <col min="4" max="5" width="12.5703125" style="495" customWidth="1"/>
    <col min="6" max="6" width="15.5703125" style="495" customWidth="1"/>
    <col min="7" max="7" width="19.28515625" style="495" customWidth="1"/>
    <col min="8" max="8" width="12.7109375" style="495" customWidth="1"/>
    <col min="9" max="10" width="10.7109375" style="495" customWidth="1"/>
    <col min="11" max="11" width="10.42578125" style="495" customWidth="1"/>
    <col min="12" max="12" width="9.42578125" style="495" customWidth="1"/>
    <col min="13" max="13" width="45.42578125" style="495" customWidth="1"/>
    <col min="14" max="14" width="17.7109375" style="495" customWidth="1"/>
    <col min="15" max="15" width="11.140625" style="495" customWidth="1"/>
    <col min="16" max="16" width="0.28515625" style="495" customWidth="1"/>
    <col min="17" max="17" width="9.140625" style="495"/>
    <col min="18" max="18" width="11.85546875" style="495" customWidth="1"/>
    <col min="19" max="19" width="18.7109375" style="495" customWidth="1"/>
    <col min="20" max="20" width="13.85546875" style="495" customWidth="1"/>
    <col min="21" max="21" width="12.140625" style="495" customWidth="1"/>
    <col min="22" max="23" width="9.140625" style="495" customWidth="1"/>
    <col min="24" max="24" width="10.85546875" style="495" customWidth="1"/>
    <col min="25" max="25" width="9.140625" style="495" customWidth="1"/>
    <col min="26" max="26" width="23.140625" style="495" customWidth="1"/>
    <col min="27" max="27" width="16.7109375" style="495" customWidth="1"/>
    <col min="28" max="28" width="17.28515625" style="495" customWidth="1"/>
    <col min="29" max="29" width="9.140625" style="495" customWidth="1"/>
    <col min="30" max="30" width="12.7109375" style="495" customWidth="1"/>
    <col min="31" max="31" width="12" style="495" customWidth="1"/>
    <col min="32" max="32" width="10.7109375" style="495" customWidth="1"/>
    <col min="33" max="35" width="9.140625" style="495"/>
    <col min="36" max="36" width="13.5703125" style="495" customWidth="1"/>
    <col min="37" max="255" width="9.140625" style="495"/>
    <col min="256" max="256" width="10.28515625" style="495" bestFit="1" customWidth="1"/>
    <col min="257" max="267" width="0" style="495" hidden="1" customWidth="1"/>
    <col min="268" max="268" width="8.85546875" style="495" customWidth="1"/>
    <col min="269" max="269" width="21" style="495" customWidth="1"/>
    <col min="270" max="270" width="17.7109375" style="495" customWidth="1"/>
    <col min="271" max="271" width="8.85546875" style="495" customWidth="1"/>
    <col min="272" max="272" width="0.28515625" style="495" customWidth="1"/>
    <col min="273" max="273" width="9.140625" style="495"/>
    <col min="274" max="274" width="11.85546875" style="495" customWidth="1"/>
    <col min="275" max="275" width="18.7109375" style="495" customWidth="1"/>
    <col min="276" max="276" width="13.85546875" style="495" customWidth="1"/>
    <col min="277" max="277" width="12.140625" style="495" customWidth="1"/>
    <col min="278" max="279" width="9.140625" style="495"/>
    <col min="280" max="280" width="10.85546875" style="495" customWidth="1"/>
    <col min="281" max="281" width="9.140625" style="495"/>
    <col min="282" max="282" width="23.140625" style="495" customWidth="1"/>
    <col min="283" max="283" width="16.7109375" style="495" bestFit="1" customWidth="1"/>
    <col min="284" max="284" width="17.28515625" style="495" bestFit="1" customWidth="1"/>
    <col min="285" max="285" width="9.140625" style="495"/>
    <col min="286" max="286" width="12.7109375" style="495" customWidth="1"/>
    <col min="287" max="287" width="12" style="495" customWidth="1"/>
    <col min="288" max="288" width="10.7109375" style="495" customWidth="1"/>
    <col min="289" max="511" width="9.140625" style="495"/>
    <col min="512" max="512" width="10.28515625" style="495" bestFit="1" customWidth="1"/>
    <col min="513" max="523" width="0" style="495" hidden="1" customWidth="1"/>
    <col min="524" max="524" width="8.85546875" style="495" customWidth="1"/>
    <col min="525" max="525" width="21" style="495" customWidth="1"/>
    <col min="526" max="526" width="17.7109375" style="495" customWidth="1"/>
    <col min="527" max="527" width="8.85546875" style="495" customWidth="1"/>
    <col min="528" max="528" width="0.28515625" style="495" customWidth="1"/>
    <col min="529" max="529" width="9.140625" style="495"/>
    <col min="530" max="530" width="11.85546875" style="495" customWidth="1"/>
    <col min="531" max="531" width="18.7109375" style="495" customWidth="1"/>
    <col min="532" max="532" width="13.85546875" style="495" customWidth="1"/>
    <col min="533" max="533" width="12.140625" style="495" customWidth="1"/>
    <col min="534" max="535" width="9.140625" style="495"/>
    <col min="536" max="536" width="10.85546875" style="495" customWidth="1"/>
    <col min="537" max="537" width="9.140625" style="495"/>
    <col min="538" max="538" width="23.140625" style="495" customWidth="1"/>
    <col min="539" max="539" width="16.7109375" style="495" bestFit="1" customWidth="1"/>
    <col min="540" max="540" width="17.28515625" style="495" bestFit="1" customWidth="1"/>
    <col min="541" max="541" width="9.140625" style="495"/>
    <col min="542" max="542" width="12.7109375" style="495" customWidth="1"/>
    <col min="543" max="543" width="12" style="495" customWidth="1"/>
    <col min="544" max="544" width="10.7109375" style="495" customWidth="1"/>
    <col min="545" max="767" width="9.140625" style="495"/>
    <col min="768" max="768" width="10.28515625" style="495" bestFit="1" customWidth="1"/>
    <col min="769" max="779" width="0" style="495" hidden="1" customWidth="1"/>
    <col min="780" max="780" width="8.85546875" style="495" customWidth="1"/>
    <col min="781" max="781" width="21" style="495" customWidth="1"/>
    <col min="782" max="782" width="17.7109375" style="495" customWidth="1"/>
    <col min="783" max="783" width="8.85546875" style="495" customWidth="1"/>
    <col min="784" max="784" width="0.28515625" style="495" customWidth="1"/>
    <col min="785" max="785" width="9.140625" style="495"/>
    <col min="786" max="786" width="11.85546875" style="495" customWidth="1"/>
    <col min="787" max="787" width="18.7109375" style="495" customWidth="1"/>
    <col min="788" max="788" width="13.85546875" style="495" customWidth="1"/>
    <col min="789" max="789" width="12.140625" style="495" customWidth="1"/>
    <col min="790" max="791" width="9.140625" style="495"/>
    <col min="792" max="792" width="10.85546875" style="495" customWidth="1"/>
    <col min="793" max="793" width="9.140625" style="495"/>
    <col min="794" max="794" width="23.140625" style="495" customWidth="1"/>
    <col min="795" max="795" width="16.7109375" style="495" bestFit="1" customWidth="1"/>
    <col min="796" max="796" width="17.28515625" style="495" bestFit="1" customWidth="1"/>
    <col min="797" max="797" width="9.140625" style="495"/>
    <col min="798" max="798" width="12.7109375" style="495" customWidth="1"/>
    <col min="799" max="799" width="12" style="495" customWidth="1"/>
    <col min="800" max="800" width="10.7109375" style="495" customWidth="1"/>
    <col min="801" max="1023" width="9.140625" style="495"/>
    <col min="1024" max="1024" width="10.28515625" style="495" bestFit="1" customWidth="1"/>
    <col min="1025" max="1035" width="0" style="495" hidden="1" customWidth="1"/>
    <col min="1036" max="1036" width="8.85546875" style="495" customWidth="1"/>
    <col min="1037" max="1037" width="21" style="495" customWidth="1"/>
    <col min="1038" max="1038" width="17.7109375" style="495" customWidth="1"/>
    <col min="1039" max="1039" width="8.85546875" style="495" customWidth="1"/>
    <col min="1040" max="1040" width="0.28515625" style="495" customWidth="1"/>
    <col min="1041" max="1041" width="9.140625" style="495"/>
    <col min="1042" max="1042" width="11.85546875" style="495" customWidth="1"/>
    <col min="1043" max="1043" width="18.7109375" style="495" customWidth="1"/>
    <col min="1044" max="1044" width="13.85546875" style="495" customWidth="1"/>
    <col min="1045" max="1045" width="12.140625" style="495" customWidth="1"/>
    <col min="1046" max="1047" width="9.140625" style="495"/>
    <col min="1048" max="1048" width="10.85546875" style="495" customWidth="1"/>
    <col min="1049" max="1049" width="9.140625" style="495"/>
    <col min="1050" max="1050" width="23.140625" style="495" customWidth="1"/>
    <col min="1051" max="1051" width="16.7109375" style="495" bestFit="1" customWidth="1"/>
    <col min="1052" max="1052" width="17.28515625" style="495" bestFit="1" customWidth="1"/>
    <col min="1053" max="1053" width="9.140625" style="495"/>
    <col min="1054" max="1054" width="12.7109375" style="495" customWidth="1"/>
    <col min="1055" max="1055" width="12" style="495" customWidth="1"/>
    <col min="1056" max="1056" width="10.7109375" style="495" customWidth="1"/>
    <col min="1057" max="1279" width="9.140625" style="495"/>
    <col min="1280" max="1280" width="10.28515625" style="495" bestFit="1" customWidth="1"/>
    <col min="1281" max="1291" width="0" style="495" hidden="1" customWidth="1"/>
    <col min="1292" max="1292" width="8.85546875" style="495" customWidth="1"/>
    <col min="1293" max="1293" width="21" style="495" customWidth="1"/>
    <col min="1294" max="1294" width="17.7109375" style="495" customWidth="1"/>
    <col min="1295" max="1295" width="8.85546875" style="495" customWidth="1"/>
    <col min="1296" max="1296" width="0.28515625" style="495" customWidth="1"/>
    <col min="1297" max="1297" width="9.140625" style="495"/>
    <col min="1298" max="1298" width="11.85546875" style="495" customWidth="1"/>
    <col min="1299" max="1299" width="18.7109375" style="495" customWidth="1"/>
    <col min="1300" max="1300" width="13.85546875" style="495" customWidth="1"/>
    <col min="1301" max="1301" width="12.140625" style="495" customWidth="1"/>
    <col min="1302" max="1303" width="9.140625" style="495"/>
    <col min="1304" max="1304" width="10.85546875" style="495" customWidth="1"/>
    <col min="1305" max="1305" width="9.140625" style="495"/>
    <col min="1306" max="1306" width="23.140625" style="495" customWidth="1"/>
    <col min="1307" max="1307" width="16.7109375" style="495" bestFit="1" customWidth="1"/>
    <col min="1308" max="1308" width="17.28515625" style="495" bestFit="1" customWidth="1"/>
    <col min="1309" max="1309" width="9.140625" style="495"/>
    <col min="1310" max="1310" width="12.7109375" style="495" customWidth="1"/>
    <col min="1311" max="1311" width="12" style="495" customWidth="1"/>
    <col min="1312" max="1312" width="10.7109375" style="495" customWidth="1"/>
    <col min="1313" max="1535" width="9.140625" style="495"/>
    <col min="1536" max="1536" width="10.28515625" style="495" bestFit="1" customWidth="1"/>
    <col min="1537" max="1547" width="0" style="495" hidden="1" customWidth="1"/>
    <col min="1548" max="1548" width="8.85546875" style="495" customWidth="1"/>
    <col min="1549" max="1549" width="21" style="495" customWidth="1"/>
    <col min="1550" max="1550" width="17.7109375" style="495" customWidth="1"/>
    <col min="1551" max="1551" width="8.85546875" style="495" customWidth="1"/>
    <col min="1552" max="1552" width="0.28515625" style="495" customWidth="1"/>
    <col min="1553" max="1553" width="9.140625" style="495"/>
    <col min="1554" max="1554" width="11.85546875" style="495" customWidth="1"/>
    <col min="1555" max="1555" width="18.7109375" style="495" customWidth="1"/>
    <col min="1556" max="1556" width="13.85546875" style="495" customWidth="1"/>
    <col min="1557" max="1557" width="12.140625" style="495" customWidth="1"/>
    <col min="1558" max="1559" width="9.140625" style="495"/>
    <col min="1560" max="1560" width="10.85546875" style="495" customWidth="1"/>
    <col min="1561" max="1561" width="9.140625" style="495"/>
    <col min="1562" max="1562" width="23.140625" style="495" customWidth="1"/>
    <col min="1563" max="1563" width="16.7109375" style="495" bestFit="1" customWidth="1"/>
    <col min="1564" max="1564" width="17.28515625" style="495" bestFit="1" customWidth="1"/>
    <col min="1565" max="1565" width="9.140625" style="495"/>
    <col min="1566" max="1566" width="12.7109375" style="495" customWidth="1"/>
    <col min="1567" max="1567" width="12" style="495" customWidth="1"/>
    <col min="1568" max="1568" width="10.7109375" style="495" customWidth="1"/>
    <col min="1569" max="1791" width="9.140625" style="495"/>
    <col min="1792" max="1792" width="10.28515625" style="495" bestFit="1" customWidth="1"/>
    <col min="1793" max="1803" width="0" style="495" hidden="1" customWidth="1"/>
    <col min="1804" max="1804" width="8.85546875" style="495" customWidth="1"/>
    <col min="1805" max="1805" width="21" style="495" customWidth="1"/>
    <col min="1806" max="1806" width="17.7109375" style="495" customWidth="1"/>
    <col min="1807" max="1807" width="8.85546875" style="495" customWidth="1"/>
    <col min="1808" max="1808" width="0.28515625" style="495" customWidth="1"/>
    <col min="1809" max="1809" width="9.140625" style="495"/>
    <col min="1810" max="1810" width="11.85546875" style="495" customWidth="1"/>
    <col min="1811" max="1811" width="18.7109375" style="495" customWidth="1"/>
    <col min="1812" max="1812" width="13.85546875" style="495" customWidth="1"/>
    <col min="1813" max="1813" width="12.140625" style="495" customWidth="1"/>
    <col min="1814" max="1815" width="9.140625" style="495"/>
    <col min="1816" max="1816" width="10.85546875" style="495" customWidth="1"/>
    <col min="1817" max="1817" width="9.140625" style="495"/>
    <col min="1818" max="1818" width="23.140625" style="495" customWidth="1"/>
    <col min="1819" max="1819" width="16.7109375" style="495" bestFit="1" customWidth="1"/>
    <col min="1820" max="1820" width="17.28515625" style="495" bestFit="1" customWidth="1"/>
    <col min="1821" max="1821" width="9.140625" style="495"/>
    <col min="1822" max="1822" width="12.7109375" style="495" customWidth="1"/>
    <col min="1823" max="1823" width="12" style="495" customWidth="1"/>
    <col min="1824" max="1824" width="10.7109375" style="495" customWidth="1"/>
    <col min="1825" max="2047" width="9.140625" style="495"/>
    <col min="2048" max="2048" width="10.28515625" style="495" bestFit="1" customWidth="1"/>
    <col min="2049" max="2059" width="0" style="495" hidden="1" customWidth="1"/>
    <col min="2060" max="2060" width="8.85546875" style="495" customWidth="1"/>
    <col min="2061" max="2061" width="21" style="495" customWidth="1"/>
    <col min="2062" max="2062" width="17.7109375" style="495" customWidth="1"/>
    <col min="2063" max="2063" width="8.85546875" style="495" customWidth="1"/>
    <col min="2064" max="2064" width="0.28515625" style="495" customWidth="1"/>
    <col min="2065" max="2065" width="9.140625" style="495"/>
    <col min="2066" max="2066" width="11.85546875" style="495" customWidth="1"/>
    <col min="2067" max="2067" width="18.7109375" style="495" customWidth="1"/>
    <col min="2068" max="2068" width="13.85546875" style="495" customWidth="1"/>
    <col min="2069" max="2069" width="12.140625" style="495" customWidth="1"/>
    <col min="2070" max="2071" width="9.140625" style="495"/>
    <col min="2072" max="2072" width="10.85546875" style="495" customWidth="1"/>
    <col min="2073" max="2073" width="9.140625" style="495"/>
    <col min="2074" max="2074" width="23.140625" style="495" customWidth="1"/>
    <col min="2075" max="2075" width="16.7109375" style="495" bestFit="1" customWidth="1"/>
    <col min="2076" max="2076" width="17.28515625" style="495" bestFit="1" customWidth="1"/>
    <col min="2077" max="2077" width="9.140625" style="495"/>
    <col min="2078" max="2078" width="12.7109375" style="495" customWidth="1"/>
    <col min="2079" max="2079" width="12" style="495" customWidth="1"/>
    <col min="2080" max="2080" width="10.7109375" style="495" customWidth="1"/>
    <col min="2081" max="2303" width="9.140625" style="495"/>
    <col min="2304" max="2304" width="10.28515625" style="495" bestFit="1" customWidth="1"/>
    <col min="2305" max="2315" width="0" style="495" hidden="1" customWidth="1"/>
    <col min="2316" max="2316" width="8.85546875" style="495" customWidth="1"/>
    <col min="2317" max="2317" width="21" style="495" customWidth="1"/>
    <col min="2318" max="2318" width="17.7109375" style="495" customWidth="1"/>
    <col min="2319" max="2319" width="8.85546875" style="495" customWidth="1"/>
    <col min="2320" max="2320" width="0.28515625" style="495" customWidth="1"/>
    <col min="2321" max="2321" width="9.140625" style="495"/>
    <col min="2322" max="2322" width="11.85546875" style="495" customWidth="1"/>
    <col min="2323" max="2323" width="18.7109375" style="495" customWidth="1"/>
    <col min="2324" max="2324" width="13.85546875" style="495" customWidth="1"/>
    <col min="2325" max="2325" width="12.140625" style="495" customWidth="1"/>
    <col min="2326" max="2327" width="9.140625" style="495"/>
    <col min="2328" max="2328" width="10.85546875" style="495" customWidth="1"/>
    <col min="2329" max="2329" width="9.140625" style="495"/>
    <col min="2330" max="2330" width="23.140625" style="495" customWidth="1"/>
    <col min="2331" max="2331" width="16.7109375" style="495" bestFit="1" customWidth="1"/>
    <col min="2332" max="2332" width="17.28515625" style="495" bestFit="1" customWidth="1"/>
    <col min="2333" max="2333" width="9.140625" style="495"/>
    <col min="2334" max="2334" width="12.7109375" style="495" customWidth="1"/>
    <col min="2335" max="2335" width="12" style="495" customWidth="1"/>
    <col min="2336" max="2336" width="10.7109375" style="495" customWidth="1"/>
    <col min="2337" max="2559" width="9.140625" style="495"/>
    <col min="2560" max="2560" width="10.28515625" style="495" bestFit="1" customWidth="1"/>
    <col min="2561" max="2571" width="0" style="495" hidden="1" customWidth="1"/>
    <col min="2572" max="2572" width="8.85546875" style="495" customWidth="1"/>
    <col min="2573" max="2573" width="21" style="495" customWidth="1"/>
    <col min="2574" max="2574" width="17.7109375" style="495" customWidth="1"/>
    <col min="2575" max="2575" width="8.85546875" style="495" customWidth="1"/>
    <col min="2576" max="2576" width="0.28515625" style="495" customWidth="1"/>
    <col min="2577" max="2577" width="9.140625" style="495"/>
    <col min="2578" max="2578" width="11.85546875" style="495" customWidth="1"/>
    <col min="2579" max="2579" width="18.7109375" style="495" customWidth="1"/>
    <col min="2580" max="2580" width="13.85546875" style="495" customWidth="1"/>
    <col min="2581" max="2581" width="12.140625" style="495" customWidth="1"/>
    <col min="2582" max="2583" width="9.140625" style="495"/>
    <col min="2584" max="2584" width="10.85546875" style="495" customWidth="1"/>
    <col min="2585" max="2585" width="9.140625" style="495"/>
    <col min="2586" max="2586" width="23.140625" style="495" customWidth="1"/>
    <col min="2587" max="2587" width="16.7109375" style="495" bestFit="1" customWidth="1"/>
    <col min="2588" max="2588" width="17.28515625" style="495" bestFit="1" customWidth="1"/>
    <col min="2589" max="2589" width="9.140625" style="495"/>
    <col min="2590" max="2590" width="12.7109375" style="495" customWidth="1"/>
    <col min="2591" max="2591" width="12" style="495" customWidth="1"/>
    <col min="2592" max="2592" width="10.7109375" style="495" customWidth="1"/>
    <col min="2593" max="2815" width="9.140625" style="495"/>
    <col min="2816" max="2816" width="10.28515625" style="495" bestFit="1" customWidth="1"/>
    <col min="2817" max="2827" width="0" style="495" hidden="1" customWidth="1"/>
    <col min="2828" max="2828" width="8.85546875" style="495" customWidth="1"/>
    <col min="2829" max="2829" width="21" style="495" customWidth="1"/>
    <col min="2830" max="2830" width="17.7109375" style="495" customWidth="1"/>
    <col min="2831" max="2831" width="8.85546875" style="495" customWidth="1"/>
    <col min="2832" max="2832" width="0.28515625" style="495" customWidth="1"/>
    <col min="2833" max="2833" width="9.140625" style="495"/>
    <col min="2834" max="2834" width="11.85546875" style="495" customWidth="1"/>
    <col min="2835" max="2835" width="18.7109375" style="495" customWidth="1"/>
    <col min="2836" max="2836" width="13.85546875" style="495" customWidth="1"/>
    <col min="2837" max="2837" width="12.140625" style="495" customWidth="1"/>
    <col min="2838" max="2839" width="9.140625" style="495"/>
    <col min="2840" max="2840" width="10.85546875" style="495" customWidth="1"/>
    <col min="2841" max="2841" width="9.140625" style="495"/>
    <col min="2842" max="2842" width="23.140625" style="495" customWidth="1"/>
    <col min="2843" max="2843" width="16.7109375" style="495" bestFit="1" customWidth="1"/>
    <col min="2844" max="2844" width="17.28515625" style="495" bestFit="1" customWidth="1"/>
    <col min="2845" max="2845" width="9.140625" style="495"/>
    <col min="2846" max="2846" width="12.7109375" style="495" customWidth="1"/>
    <col min="2847" max="2847" width="12" style="495" customWidth="1"/>
    <col min="2848" max="2848" width="10.7109375" style="495" customWidth="1"/>
    <col min="2849" max="3071" width="9.140625" style="495"/>
    <col min="3072" max="3072" width="10.28515625" style="495" bestFit="1" customWidth="1"/>
    <col min="3073" max="3083" width="0" style="495" hidden="1" customWidth="1"/>
    <col min="3084" max="3084" width="8.85546875" style="495" customWidth="1"/>
    <col min="3085" max="3085" width="21" style="495" customWidth="1"/>
    <col min="3086" max="3086" width="17.7109375" style="495" customWidth="1"/>
    <col min="3087" max="3087" width="8.85546875" style="495" customWidth="1"/>
    <col min="3088" max="3088" width="0.28515625" style="495" customWidth="1"/>
    <col min="3089" max="3089" width="9.140625" style="495"/>
    <col min="3090" max="3090" width="11.85546875" style="495" customWidth="1"/>
    <col min="3091" max="3091" width="18.7109375" style="495" customWidth="1"/>
    <col min="3092" max="3092" width="13.85546875" style="495" customWidth="1"/>
    <col min="3093" max="3093" width="12.140625" style="495" customWidth="1"/>
    <col min="3094" max="3095" width="9.140625" style="495"/>
    <col min="3096" max="3096" width="10.85546875" style="495" customWidth="1"/>
    <col min="3097" max="3097" width="9.140625" style="495"/>
    <col min="3098" max="3098" width="23.140625" style="495" customWidth="1"/>
    <col min="3099" max="3099" width="16.7109375" style="495" bestFit="1" customWidth="1"/>
    <col min="3100" max="3100" width="17.28515625" style="495" bestFit="1" customWidth="1"/>
    <col min="3101" max="3101" width="9.140625" style="495"/>
    <col min="3102" max="3102" width="12.7109375" style="495" customWidth="1"/>
    <col min="3103" max="3103" width="12" style="495" customWidth="1"/>
    <col min="3104" max="3104" width="10.7109375" style="495" customWidth="1"/>
    <col min="3105" max="3327" width="9.140625" style="495"/>
    <col min="3328" max="3328" width="10.28515625" style="495" bestFit="1" customWidth="1"/>
    <col min="3329" max="3339" width="0" style="495" hidden="1" customWidth="1"/>
    <col min="3340" max="3340" width="8.85546875" style="495" customWidth="1"/>
    <col min="3341" max="3341" width="21" style="495" customWidth="1"/>
    <col min="3342" max="3342" width="17.7109375" style="495" customWidth="1"/>
    <col min="3343" max="3343" width="8.85546875" style="495" customWidth="1"/>
    <col min="3344" max="3344" width="0.28515625" style="495" customWidth="1"/>
    <col min="3345" max="3345" width="9.140625" style="495"/>
    <col min="3346" max="3346" width="11.85546875" style="495" customWidth="1"/>
    <col min="3347" max="3347" width="18.7109375" style="495" customWidth="1"/>
    <col min="3348" max="3348" width="13.85546875" style="495" customWidth="1"/>
    <col min="3349" max="3349" width="12.140625" style="495" customWidth="1"/>
    <col min="3350" max="3351" width="9.140625" style="495"/>
    <col min="3352" max="3352" width="10.85546875" style="495" customWidth="1"/>
    <col min="3353" max="3353" width="9.140625" style="495"/>
    <col min="3354" max="3354" width="23.140625" style="495" customWidth="1"/>
    <col min="3355" max="3355" width="16.7109375" style="495" bestFit="1" customWidth="1"/>
    <col min="3356" max="3356" width="17.28515625" style="495" bestFit="1" customWidth="1"/>
    <col min="3357" max="3357" width="9.140625" style="495"/>
    <col min="3358" max="3358" width="12.7109375" style="495" customWidth="1"/>
    <col min="3359" max="3359" width="12" style="495" customWidth="1"/>
    <col min="3360" max="3360" width="10.7109375" style="495" customWidth="1"/>
    <col min="3361" max="3583" width="9.140625" style="495"/>
    <col min="3584" max="3584" width="10.28515625" style="495" bestFit="1" customWidth="1"/>
    <col min="3585" max="3595" width="0" style="495" hidden="1" customWidth="1"/>
    <col min="3596" max="3596" width="8.85546875" style="495" customWidth="1"/>
    <col min="3597" max="3597" width="21" style="495" customWidth="1"/>
    <col min="3598" max="3598" width="17.7109375" style="495" customWidth="1"/>
    <col min="3599" max="3599" width="8.85546875" style="495" customWidth="1"/>
    <col min="3600" max="3600" width="0.28515625" style="495" customWidth="1"/>
    <col min="3601" max="3601" width="9.140625" style="495"/>
    <col min="3602" max="3602" width="11.85546875" style="495" customWidth="1"/>
    <col min="3603" max="3603" width="18.7109375" style="495" customWidth="1"/>
    <col min="3604" max="3604" width="13.85546875" style="495" customWidth="1"/>
    <col min="3605" max="3605" width="12.140625" style="495" customWidth="1"/>
    <col min="3606" max="3607" width="9.140625" style="495"/>
    <col min="3608" max="3608" width="10.85546875" style="495" customWidth="1"/>
    <col min="3609" max="3609" width="9.140625" style="495"/>
    <col min="3610" max="3610" width="23.140625" style="495" customWidth="1"/>
    <col min="3611" max="3611" width="16.7109375" style="495" bestFit="1" customWidth="1"/>
    <col min="3612" max="3612" width="17.28515625" style="495" bestFit="1" customWidth="1"/>
    <col min="3613" max="3613" width="9.140625" style="495"/>
    <col min="3614" max="3614" width="12.7109375" style="495" customWidth="1"/>
    <col min="3615" max="3615" width="12" style="495" customWidth="1"/>
    <col min="3616" max="3616" width="10.7109375" style="495" customWidth="1"/>
    <col min="3617" max="3839" width="9.140625" style="495"/>
    <col min="3840" max="3840" width="10.28515625" style="495" bestFit="1" customWidth="1"/>
    <col min="3841" max="3851" width="0" style="495" hidden="1" customWidth="1"/>
    <col min="3852" max="3852" width="8.85546875" style="495" customWidth="1"/>
    <col min="3853" max="3853" width="21" style="495" customWidth="1"/>
    <col min="3854" max="3854" width="17.7109375" style="495" customWidth="1"/>
    <col min="3855" max="3855" width="8.85546875" style="495" customWidth="1"/>
    <col min="3856" max="3856" width="0.28515625" style="495" customWidth="1"/>
    <col min="3857" max="3857" width="9.140625" style="495"/>
    <col min="3858" max="3858" width="11.85546875" style="495" customWidth="1"/>
    <col min="3859" max="3859" width="18.7109375" style="495" customWidth="1"/>
    <col min="3860" max="3860" width="13.85546875" style="495" customWidth="1"/>
    <col min="3861" max="3861" width="12.140625" style="495" customWidth="1"/>
    <col min="3862" max="3863" width="9.140625" style="495"/>
    <col min="3864" max="3864" width="10.85546875" style="495" customWidth="1"/>
    <col min="3865" max="3865" width="9.140625" style="495"/>
    <col min="3866" max="3866" width="23.140625" style="495" customWidth="1"/>
    <col min="3867" max="3867" width="16.7109375" style="495" bestFit="1" customWidth="1"/>
    <col min="3868" max="3868" width="17.28515625" style="495" bestFit="1" customWidth="1"/>
    <col min="3869" max="3869" width="9.140625" style="495"/>
    <col min="3870" max="3870" width="12.7109375" style="495" customWidth="1"/>
    <col min="3871" max="3871" width="12" style="495" customWidth="1"/>
    <col min="3872" max="3872" width="10.7109375" style="495" customWidth="1"/>
    <col min="3873" max="4095" width="9.140625" style="495"/>
    <col min="4096" max="4096" width="10.28515625" style="495" bestFit="1" customWidth="1"/>
    <col min="4097" max="4107" width="0" style="495" hidden="1" customWidth="1"/>
    <col min="4108" max="4108" width="8.85546875" style="495" customWidth="1"/>
    <col min="4109" max="4109" width="21" style="495" customWidth="1"/>
    <col min="4110" max="4110" width="17.7109375" style="495" customWidth="1"/>
    <col min="4111" max="4111" width="8.85546875" style="495" customWidth="1"/>
    <col min="4112" max="4112" width="0.28515625" style="495" customWidth="1"/>
    <col min="4113" max="4113" width="9.140625" style="495"/>
    <col min="4114" max="4114" width="11.85546875" style="495" customWidth="1"/>
    <col min="4115" max="4115" width="18.7109375" style="495" customWidth="1"/>
    <col min="4116" max="4116" width="13.85546875" style="495" customWidth="1"/>
    <col min="4117" max="4117" width="12.140625" style="495" customWidth="1"/>
    <col min="4118" max="4119" width="9.140625" style="495"/>
    <col min="4120" max="4120" width="10.85546875" style="495" customWidth="1"/>
    <col min="4121" max="4121" width="9.140625" style="495"/>
    <col min="4122" max="4122" width="23.140625" style="495" customWidth="1"/>
    <col min="4123" max="4123" width="16.7109375" style="495" bestFit="1" customWidth="1"/>
    <col min="4124" max="4124" width="17.28515625" style="495" bestFit="1" customWidth="1"/>
    <col min="4125" max="4125" width="9.140625" style="495"/>
    <col min="4126" max="4126" width="12.7109375" style="495" customWidth="1"/>
    <col min="4127" max="4127" width="12" style="495" customWidth="1"/>
    <col min="4128" max="4128" width="10.7109375" style="495" customWidth="1"/>
    <col min="4129" max="4351" width="9.140625" style="495"/>
    <col min="4352" max="4352" width="10.28515625" style="495" bestFit="1" customWidth="1"/>
    <col min="4353" max="4363" width="0" style="495" hidden="1" customWidth="1"/>
    <col min="4364" max="4364" width="8.85546875" style="495" customWidth="1"/>
    <col min="4365" max="4365" width="21" style="495" customWidth="1"/>
    <col min="4366" max="4366" width="17.7109375" style="495" customWidth="1"/>
    <col min="4367" max="4367" width="8.85546875" style="495" customWidth="1"/>
    <col min="4368" max="4368" width="0.28515625" style="495" customWidth="1"/>
    <col min="4369" max="4369" width="9.140625" style="495"/>
    <col min="4370" max="4370" width="11.85546875" style="495" customWidth="1"/>
    <col min="4371" max="4371" width="18.7109375" style="495" customWidth="1"/>
    <col min="4372" max="4372" width="13.85546875" style="495" customWidth="1"/>
    <col min="4373" max="4373" width="12.140625" style="495" customWidth="1"/>
    <col min="4374" max="4375" width="9.140625" style="495"/>
    <col min="4376" max="4376" width="10.85546875" style="495" customWidth="1"/>
    <col min="4377" max="4377" width="9.140625" style="495"/>
    <col min="4378" max="4378" width="23.140625" style="495" customWidth="1"/>
    <col min="4379" max="4379" width="16.7109375" style="495" bestFit="1" customWidth="1"/>
    <col min="4380" max="4380" width="17.28515625" style="495" bestFit="1" customWidth="1"/>
    <col min="4381" max="4381" width="9.140625" style="495"/>
    <col min="4382" max="4382" width="12.7109375" style="495" customWidth="1"/>
    <col min="4383" max="4383" width="12" style="495" customWidth="1"/>
    <col min="4384" max="4384" width="10.7109375" style="495" customWidth="1"/>
    <col min="4385" max="4607" width="9.140625" style="495"/>
    <col min="4608" max="4608" width="10.28515625" style="495" bestFit="1" customWidth="1"/>
    <col min="4609" max="4619" width="0" style="495" hidden="1" customWidth="1"/>
    <col min="4620" max="4620" width="8.85546875" style="495" customWidth="1"/>
    <col min="4621" max="4621" width="21" style="495" customWidth="1"/>
    <col min="4622" max="4622" width="17.7109375" style="495" customWidth="1"/>
    <col min="4623" max="4623" width="8.85546875" style="495" customWidth="1"/>
    <col min="4624" max="4624" width="0.28515625" style="495" customWidth="1"/>
    <col min="4625" max="4625" width="9.140625" style="495"/>
    <col min="4626" max="4626" width="11.85546875" style="495" customWidth="1"/>
    <col min="4627" max="4627" width="18.7109375" style="495" customWidth="1"/>
    <col min="4628" max="4628" width="13.85546875" style="495" customWidth="1"/>
    <col min="4629" max="4629" width="12.140625" style="495" customWidth="1"/>
    <col min="4630" max="4631" width="9.140625" style="495"/>
    <col min="4632" max="4632" width="10.85546875" style="495" customWidth="1"/>
    <col min="4633" max="4633" width="9.140625" style="495"/>
    <col min="4634" max="4634" width="23.140625" style="495" customWidth="1"/>
    <col min="4635" max="4635" width="16.7109375" style="495" bestFit="1" customWidth="1"/>
    <col min="4636" max="4636" width="17.28515625" style="495" bestFit="1" customWidth="1"/>
    <col min="4637" max="4637" width="9.140625" style="495"/>
    <col min="4638" max="4638" width="12.7109375" style="495" customWidth="1"/>
    <col min="4639" max="4639" width="12" style="495" customWidth="1"/>
    <col min="4640" max="4640" width="10.7109375" style="495" customWidth="1"/>
    <col min="4641" max="4863" width="9.140625" style="495"/>
    <col min="4864" max="4864" width="10.28515625" style="495" bestFit="1" customWidth="1"/>
    <col min="4865" max="4875" width="0" style="495" hidden="1" customWidth="1"/>
    <col min="4876" max="4876" width="8.85546875" style="495" customWidth="1"/>
    <col min="4877" max="4877" width="21" style="495" customWidth="1"/>
    <col min="4878" max="4878" width="17.7109375" style="495" customWidth="1"/>
    <col min="4879" max="4879" width="8.85546875" style="495" customWidth="1"/>
    <col min="4880" max="4880" width="0.28515625" style="495" customWidth="1"/>
    <col min="4881" max="4881" width="9.140625" style="495"/>
    <col min="4882" max="4882" width="11.85546875" style="495" customWidth="1"/>
    <col min="4883" max="4883" width="18.7109375" style="495" customWidth="1"/>
    <col min="4884" max="4884" width="13.85546875" style="495" customWidth="1"/>
    <col min="4885" max="4885" width="12.140625" style="495" customWidth="1"/>
    <col min="4886" max="4887" width="9.140625" style="495"/>
    <col min="4888" max="4888" width="10.85546875" style="495" customWidth="1"/>
    <col min="4889" max="4889" width="9.140625" style="495"/>
    <col min="4890" max="4890" width="23.140625" style="495" customWidth="1"/>
    <col min="4891" max="4891" width="16.7109375" style="495" bestFit="1" customWidth="1"/>
    <col min="4892" max="4892" width="17.28515625" style="495" bestFit="1" customWidth="1"/>
    <col min="4893" max="4893" width="9.140625" style="495"/>
    <col min="4894" max="4894" width="12.7109375" style="495" customWidth="1"/>
    <col min="4895" max="4895" width="12" style="495" customWidth="1"/>
    <col min="4896" max="4896" width="10.7109375" style="495" customWidth="1"/>
    <col min="4897" max="5119" width="9.140625" style="495"/>
    <col min="5120" max="5120" width="10.28515625" style="495" bestFit="1" customWidth="1"/>
    <col min="5121" max="5131" width="0" style="495" hidden="1" customWidth="1"/>
    <col min="5132" max="5132" width="8.85546875" style="495" customWidth="1"/>
    <col min="5133" max="5133" width="21" style="495" customWidth="1"/>
    <col min="5134" max="5134" width="17.7109375" style="495" customWidth="1"/>
    <col min="5135" max="5135" width="8.85546875" style="495" customWidth="1"/>
    <col min="5136" max="5136" width="0.28515625" style="495" customWidth="1"/>
    <col min="5137" max="5137" width="9.140625" style="495"/>
    <col min="5138" max="5138" width="11.85546875" style="495" customWidth="1"/>
    <col min="5139" max="5139" width="18.7109375" style="495" customWidth="1"/>
    <col min="5140" max="5140" width="13.85546875" style="495" customWidth="1"/>
    <col min="5141" max="5141" width="12.140625" style="495" customWidth="1"/>
    <col min="5142" max="5143" width="9.140625" style="495"/>
    <col min="5144" max="5144" width="10.85546875" style="495" customWidth="1"/>
    <col min="5145" max="5145" width="9.140625" style="495"/>
    <col min="5146" max="5146" width="23.140625" style="495" customWidth="1"/>
    <col min="5147" max="5147" width="16.7109375" style="495" bestFit="1" customWidth="1"/>
    <col min="5148" max="5148" width="17.28515625" style="495" bestFit="1" customWidth="1"/>
    <col min="5149" max="5149" width="9.140625" style="495"/>
    <col min="5150" max="5150" width="12.7109375" style="495" customWidth="1"/>
    <col min="5151" max="5151" width="12" style="495" customWidth="1"/>
    <col min="5152" max="5152" width="10.7109375" style="495" customWidth="1"/>
    <col min="5153" max="5375" width="9.140625" style="495"/>
    <col min="5376" max="5376" width="10.28515625" style="495" bestFit="1" customWidth="1"/>
    <col min="5377" max="5387" width="0" style="495" hidden="1" customWidth="1"/>
    <col min="5388" max="5388" width="8.85546875" style="495" customWidth="1"/>
    <col min="5389" max="5389" width="21" style="495" customWidth="1"/>
    <col min="5390" max="5390" width="17.7109375" style="495" customWidth="1"/>
    <col min="5391" max="5391" width="8.85546875" style="495" customWidth="1"/>
    <col min="5392" max="5392" width="0.28515625" style="495" customWidth="1"/>
    <col min="5393" max="5393" width="9.140625" style="495"/>
    <col min="5394" max="5394" width="11.85546875" style="495" customWidth="1"/>
    <col min="5395" max="5395" width="18.7109375" style="495" customWidth="1"/>
    <col min="5396" max="5396" width="13.85546875" style="495" customWidth="1"/>
    <col min="5397" max="5397" width="12.140625" style="495" customWidth="1"/>
    <col min="5398" max="5399" width="9.140625" style="495"/>
    <col min="5400" max="5400" width="10.85546875" style="495" customWidth="1"/>
    <col min="5401" max="5401" width="9.140625" style="495"/>
    <col min="5402" max="5402" width="23.140625" style="495" customWidth="1"/>
    <col min="5403" max="5403" width="16.7109375" style="495" bestFit="1" customWidth="1"/>
    <col min="5404" max="5404" width="17.28515625" style="495" bestFit="1" customWidth="1"/>
    <col min="5405" max="5405" width="9.140625" style="495"/>
    <col min="5406" max="5406" width="12.7109375" style="495" customWidth="1"/>
    <col min="5407" max="5407" width="12" style="495" customWidth="1"/>
    <col min="5408" max="5408" width="10.7109375" style="495" customWidth="1"/>
    <col min="5409" max="5631" width="9.140625" style="495"/>
    <col min="5632" max="5632" width="10.28515625" style="495" bestFit="1" customWidth="1"/>
    <col min="5633" max="5643" width="0" style="495" hidden="1" customWidth="1"/>
    <col min="5644" max="5644" width="8.85546875" style="495" customWidth="1"/>
    <col min="5645" max="5645" width="21" style="495" customWidth="1"/>
    <col min="5646" max="5646" width="17.7109375" style="495" customWidth="1"/>
    <col min="5647" max="5647" width="8.85546875" style="495" customWidth="1"/>
    <col min="5648" max="5648" width="0.28515625" style="495" customWidth="1"/>
    <col min="5649" max="5649" width="9.140625" style="495"/>
    <col min="5650" max="5650" width="11.85546875" style="495" customWidth="1"/>
    <col min="5651" max="5651" width="18.7109375" style="495" customWidth="1"/>
    <col min="5652" max="5652" width="13.85546875" style="495" customWidth="1"/>
    <col min="5653" max="5653" width="12.140625" style="495" customWidth="1"/>
    <col min="5654" max="5655" width="9.140625" style="495"/>
    <col min="5656" max="5656" width="10.85546875" style="495" customWidth="1"/>
    <col min="5657" max="5657" width="9.140625" style="495"/>
    <col min="5658" max="5658" width="23.140625" style="495" customWidth="1"/>
    <col min="5659" max="5659" width="16.7109375" style="495" bestFit="1" customWidth="1"/>
    <col min="5660" max="5660" width="17.28515625" style="495" bestFit="1" customWidth="1"/>
    <col min="5661" max="5661" width="9.140625" style="495"/>
    <col min="5662" max="5662" width="12.7109375" style="495" customWidth="1"/>
    <col min="5663" max="5663" width="12" style="495" customWidth="1"/>
    <col min="5664" max="5664" width="10.7109375" style="495" customWidth="1"/>
    <col min="5665" max="5887" width="9.140625" style="495"/>
    <col min="5888" max="5888" width="10.28515625" style="495" bestFit="1" customWidth="1"/>
    <col min="5889" max="5899" width="0" style="495" hidden="1" customWidth="1"/>
    <col min="5900" max="5900" width="8.85546875" style="495" customWidth="1"/>
    <col min="5901" max="5901" width="21" style="495" customWidth="1"/>
    <col min="5902" max="5902" width="17.7109375" style="495" customWidth="1"/>
    <col min="5903" max="5903" width="8.85546875" style="495" customWidth="1"/>
    <col min="5904" max="5904" width="0.28515625" style="495" customWidth="1"/>
    <col min="5905" max="5905" width="9.140625" style="495"/>
    <col min="5906" max="5906" width="11.85546875" style="495" customWidth="1"/>
    <col min="5907" max="5907" width="18.7109375" style="495" customWidth="1"/>
    <col min="5908" max="5908" width="13.85546875" style="495" customWidth="1"/>
    <col min="5909" max="5909" width="12.140625" style="495" customWidth="1"/>
    <col min="5910" max="5911" width="9.140625" style="495"/>
    <col min="5912" max="5912" width="10.85546875" style="495" customWidth="1"/>
    <col min="5913" max="5913" width="9.140625" style="495"/>
    <col min="5914" max="5914" width="23.140625" style="495" customWidth="1"/>
    <col min="5915" max="5915" width="16.7109375" style="495" bestFit="1" customWidth="1"/>
    <col min="5916" max="5916" width="17.28515625" style="495" bestFit="1" customWidth="1"/>
    <col min="5917" max="5917" width="9.140625" style="495"/>
    <col min="5918" max="5918" width="12.7109375" style="495" customWidth="1"/>
    <col min="5919" max="5919" width="12" style="495" customWidth="1"/>
    <col min="5920" max="5920" width="10.7109375" style="495" customWidth="1"/>
    <col min="5921" max="6143" width="9.140625" style="495"/>
    <col min="6144" max="6144" width="10.28515625" style="495" bestFit="1" customWidth="1"/>
    <col min="6145" max="6155" width="0" style="495" hidden="1" customWidth="1"/>
    <col min="6156" max="6156" width="8.85546875" style="495" customWidth="1"/>
    <col min="6157" max="6157" width="21" style="495" customWidth="1"/>
    <col min="6158" max="6158" width="17.7109375" style="495" customWidth="1"/>
    <col min="6159" max="6159" width="8.85546875" style="495" customWidth="1"/>
    <col min="6160" max="6160" width="0.28515625" style="495" customWidth="1"/>
    <col min="6161" max="6161" width="9.140625" style="495"/>
    <col min="6162" max="6162" width="11.85546875" style="495" customWidth="1"/>
    <col min="6163" max="6163" width="18.7109375" style="495" customWidth="1"/>
    <col min="6164" max="6164" width="13.85546875" style="495" customWidth="1"/>
    <col min="6165" max="6165" width="12.140625" style="495" customWidth="1"/>
    <col min="6166" max="6167" width="9.140625" style="495"/>
    <col min="6168" max="6168" width="10.85546875" style="495" customWidth="1"/>
    <col min="6169" max="6169" width="9.140625" style="495"/>
    <col min="6170" max="6170" width="23.140625" style="495" customWidth="1"/>
    <col min="6171" max="6171" width="16.7109375" style="495" bestFit="1" customWidth="1"/>
    <col min="6172" max="6172" width="17.28515625" style="495" bestFit="1" customWidth="1"/>
    <col min="6173" max="6173" width="9.140625" style="495"/>
    <col min="6174" max="6174" width="12.7109375" style="495" customWidth="1"/>
    <col min="6175" max="6175" width="12" style="495" customWidth="1"/>
    <col min="6176" max="6176" width="10.7109375" style="495" customWidth="1"/>
    <col min="6177" max="6399" width="9.140625" style="495"/>
    <col min="6400" max="6400" width="10.28515625" style="495" bestFit="1" customWidth="1"/>
    <col min="6401" max="6411" width="0" style="495" hidden="1" customWidth="1"/>
    <col min="6412" max="6412" width="8.85546875" style="495" customWidth="1"/>
    <col min="6413" max="6413" width="21" style="495" customWidth="1"/>
    <col min="6414" max="6414" width="17.7109375" style="495" customWidth="1"/>
    <col min="6415" max="6415" width="8.85546875" style="495" customWidth="1"/>
    <col min="6416" max="6416" width="0.28515625" style="495" customWidth="1"/>
    <col min="6417" max="6417" width="9.140625" style="495"/>
    <col min="6418" max="6418" width="11.85546875" style="495" customWidth="1"/>
    <col min="6419" max="6419" width="18.7109375" style="495" customWidth="1"/>
    <col min="6420" max="6420" width="13.85546875" style="495" customWidth="1"/>
    <col min="6421" max="6421" width="12.140625" style="495" customWidth="1"/>
    <col min="6422" max="6423" width="9.140625" style="495"/>
    <col min="6424" max="6424" width="10.85546875" style="495" customWidth="1"/>
    <col min="6425" max="6425" width="9.140625" style="495"/>
    <col min="6426" max="6426" width="23.140625" style="495" customWidth="1"/>
    <col min="6427" max="6427" width="16.7109375" style="495" bestFit="1" customWidth="1"/>
    <col min="6428" max="6428" width="17.28515625" style="495" bestFit="1" customWidth="1"/>
    <col min="6429" max="6429" width="9.140625" style="495"/>
    <col min="6430" max="6430" width="12.7109375" style="495" customWidth="1"/>
    <col min="6431" max="6431" width="12" style="495" customWidth="1"/>
    <col min="6432" max="6432" width="10.7109375" style="495" customWidth="1"/>
    <col min="6433" max="6655" width="9.140625" style="495"/>
    <col min="6656" max="6656" width="10.28515625" style="495" bestFit="1" customWidth="1"/>
    <col min="6657" max="6667" width="0" style="495" hidden="1" customWidth="1"/>
    <col min="6668" max="6668" width="8.85546875" style="495" customWidth="1"/>
    <col min="6669" max="6669" width="21" style="495" customWidth="1"/>
    <col min="6670" max="6670" width="17.7109375" style="495" customWidth="1"/>
    <col min="6671" max="6671" width="8.85546875" style="495" customWidth="1"/>
    <col min="6672" max="6672" width="0.28515625" style="495" customWidth="1"/>
    <col min="6673" max="6673" width="9.140625" style="495"/>
    <col min="6674" max="6674" width="11.85546875" style="495" customWidth="1"/>
    <col min="6675" max="6675" width="18.7109375" style="495" customWidth="1"/>
    <col min="6676" max="6676" width="13.85546875" style="495" customWidth="1"/>
    <col min="6677" max="6677" width="12.140625" style="495" customWidth="1"/>
    <col min="6678" max="6679" width="9.140625" style="495"/>
    <col min="6680" max="6680" width="10.85546875" style="495" customWidth="1"/>
    <col min="6681" max="6681" width="9.140625" style="495"/>
    <col min="6682" max="6682" width="23.140625" style="495" customWidth="1"/>
    <col min="6683" max="6683" width="16.7109375" style="495" bestFit="1" customWidth="1"/>
    <col min="6684" max="6684" width="17.28515625" style="495" bestFit="1" customWidth="1"/>
    <col min="6685" max="6685" width="9.140625" style="495"/>
    <col min="6686" max="6686" width="12.7109375" style="495" customWidth="1"/>
    <col min="6687" max="6687" width="12" style="495" customWidth="1"/>
    <col min="6688" max="6688" width="10.7109375" style="495" customWidth="1"/>
    <col min="6689" max="6911" width="9.140625" style="495"/>
    <col min="6912" max="6912" width="10.28515625" style="495" bestFit="1" customWidth="1"/>
    <col min="6913" max="6923" width="0" style="495" hidden="1" customWidth="1"/>
    <col min="6924" max="6924" width="8.85546875" style="495" customWidth="1"/>
    <col min="6925" max="6925" width="21" style="495" customWidth="1"/>
    <col min="6926" max="6926" width="17.7109375" style="495" customWidth="1"/>
    <col min="6927" max="6927" width="8.85546875" style="495" customWidth="1"/>
    <col min="6928" max="6928" width="0.28515625" style="495" customWidth="1"/>
    <col min="6929" max="6929" width="9.140625" style="495"/>
    <col min="6930" max="6930" width="11.85546875" style="495" customWidth="1"/>
    <col min="6931" max="6931" width="18.7109375" style="495" customWidth="1"/>
    <col min="6932" max="6932" width="13.85546875" style="495" customWidth="1"/>
    <col min="6933" max="6933" width="12.140625" style="495" customWidth="1"/>
    <col min="6934" max="6935" width="9.140625" style="495"/>
    <col min="6936" max="6936" width="10.85546875" style="495" customWidth="1"/>
    <col min="6937" max="6937" width="9.140625" style="495"/>
    <col min="6938" max="6938" width="23.140625" style="495" customWidth="1"/>
    <col min="6939" max="6939" width="16.7109375" style="495" bestFit="1" customWidth="1"/>
    <col min="6940" max="6940" width="17.28515625" style="495" bestFit="1" customWidth="1"/>
    <col min="6941" max="6941" width="9.140625" style="495"/>
    <col min="6942" max="6942" width="12.7109375" style="495" customWidth="1"/>
    <col min="6943" max="6943" width="12" style="495" customWidth="1"/>
    <col min="6944" max="6944" width="10.7109375" style="495" customWidth="1"/>
    <col min="6945" max="7167" width="9.140625" style="495"/>
    <col min="7168" max="7168" width="10.28515625" style="495" bestFit="1" customWidth="1"/>
    <col min="7169" max="7179" width="0" style="495" hidden="1" customWidth="1"/>
    <col min="7180" max="7180" width="8.85546875" style="495" customWidth="1"/>
    <col min="7181" max="7181" width="21" style="495" customWidth="1"/>
    <col min="7182" max="7182" width="17.7109375" style="495" customWidth="1"/>
    <col min="7183" max="7183" width="8.85546875" style="495" customWidth="1"/>
    <col min="7184" max="7184" width="0.28515625" style="495" customWidth="1"/>
    <col min="7185" max="7185" width="9.140625" style="495"/>
    <col min="7186" max="7186" width="11.85546875" style="495" customWidth="1"/>
    <col min="7187" max="7187" width="18.7109375" style="495" customWidth="1"/>
    <col min="7188" max="7188" width="13.85546875" style="495" customWidth="1"/>
    <col min="7189" max="7189" width="12.140625" style="495" customWidth="1"/>
    <col min="7190" max="7191" width="9.140625" style="495"/>
    <col min="7192" max="7192" width="10.85546875" style="495" customWidth="1"/>
    <col min="7193" max="7193" width="9.140625" style="495"/>
    <col min="7194" max="7194" width="23.140625" style="495" customWidth="1"/>
    <col min="7195" max="7195" width="16.7109375" style="495" bestFit="1" customWidth="1"/>
    <col min="7196" max="7196" width="17.28515625" style="495" bestFit="1" customWidth="1"/>
    <col min="7197" max="7197" width="9.140625" style="495"/>
    <col min="7198" max="7198" width="12.7109375" style="495" customWidth="1"/>
    <col min="7199" max="7199" width="12" style="495" customWidth="1"/>
    <col min="7200" max="7200" width="10.7109375" style="495" customWidth="1"/>
    <col min="7201" max="7423" width="9.140625" style="495"/>
    <col min="7424" max="7424" width="10.28515625" style="495" bestFit="1" customWidth="1"/>
    <col min="7425" max="7435" width="0" style="495" hidden="1" customWidth="1"/>
    <col min="7436" max="7436" width="8.85546875" style="495" customWidth="1"/>
    <col min="7437" max="7437" width="21" style="495" customWidth="1"/>
    <col min="7438" max="7438" width="17.7109375" style="495" customWidth="1"/>
    <col min="7439" max="7439" width="8.85546875" style="495" customWidth="1"/>
    <col min="7440" max="7440" width="0.28515625" style="495" customWidth="1"/>
    <col min="7441" max="7441" width="9.140625" style="495"/>
    <col min="7442" max="7442" width="11.85546875" style="495" customWidth="1"/>
    <col min="7443" max="7443" width="18.7109375" style="495" customWidth="1"/>
    <col min="7444" max="7444" width="13.85546875" style="495" customWidth="1"/>
    <col min="7445" max="7445" width="12.140625" style="495" customWidth="1"/>
    <col min="7446" max="7447" width="9.140625" style="495"/>
    <col min="7448" max="7448" width="10.85546875" style="495" customWidth="1"/>
    <col min="7449" max="7449" width="9.140625" style="495"/>
    <col min="7450" max="7450" width="23.140625" style="495" customWidth="1"/>
    <col min="7451" max="7451" width="16.7109375" style="495" bestFit="1" customWidth="1"/>
    <col min="7452" max="7452" width="17.28515625" style="495" bestFit="1" customWidth="1"/>
    <col min="7453" max="7453" width="9.140625" style="495"/>
    <col min="7454" max="7454" width="12.7109375" style="495" customWidth="1"/>
    <col min="7455" max="7455" width="12" style="495" customWidth="1"/>
    <col min="7456" max="7456" width="10.7109375" style="495" customWidth="1"/>
    <col min="7457" max="7679" width="9.140625" style="495"/>
    <col min="7680" max="7680" width="10.28515625" style="495" bestFit="1" customWidth="1"/>
    <col min="7681" max="7691" width="0" style="495" hidden="1" customWidth="1"/>
    <col min="7692" max="7692" width="8.85546875" style="495" customWidth="1"/>
    <col min="7693" max="7693" width="21" style="495" customWidth="1"/>
    <col min="7694" max="7694" width="17.7109375" style="495" customWidth="1"/>
    <col min="7695" max="7695" width="8.85546875" style="495" customWidth="1"/>
    <col min="7696" max="7696" width="0.28515625" style="495" customWidth="1"/>
    <col min="7697" max="7697" width="9.140625" style="495"/>
    <col min="7698" max="7698" width="11.85546875" style="495" customWidth="1"/>
    <col min="7699" max="7699" width="18.7109375" style="495" customWidth="1"/>
    <col min="7700" max="7700" width="13.85546875" style="495" customWidth="1"/>
    <col min="7701" max="7701" width="12.140625" style="495" customWidth="1"/>
    <col min="7702" max="7703" width="9.140625" style="495"/>
    <col min="7704" max="7704" width="10.85546875" style="495" customWidth="1"/>
    <col min="7705" max="7705" width="9.140625" style="495"/>
    <col min="7706" max="7706" width="23.140625" style="495" customWidth="1"/>
    <col min="7707" max="7707" width="16.7109375" style="495" bestFit="1" customWidth="1"/>
    <col min="7708" max="7708" width="17.28515625" style="495" bestFit="1" customWidth="1"/>
    <col min="7709" max="7709" width="9.140625" style="495"/>
    <col min="7710" max="7710" width="12.7109375" style="495" customWidth="1"/>
    <col min="7711" max="7711" width="12" style="495" customWidth="1"/>
    <col min="7712" max="7712" width="10.7109375" style="495" customWidth="1"/>
    <col min="7713" max="7935" width="9.140625" style="495"/>
    <col min="7936" max="7936" width="10.28515625" style="495" bestFit="1" customWidth="1"/>
    <col min="7937" max="7947" width="0" style="495" hidden="1" customWidth="1"/>
    <col min="7948" max="7948" width="8.85546875" style="495" customWidth="1"/>
    <col min="7949" max="7949" width="21" style="495" customWidth="1"/>
    <col min="7950" max="7950" width="17.7109375" style="495" customWidth="1"/>
    <col min="7951" max="7951" width="8.85546875" style="495" customWidth="1"/>
    <col min="7952" max="7952" width="0.28515625" style="495" customWidth="1"/>
    <col min="7953" max="7953" width="9.140625" style="495"/>
    <col min="7954" max="7954" width="11.85546875" style="495" customWidth="1"/>
    <col min="7955" max="7955" width="18.7109375" style="495" customWidth="1"/>
    <col min="7956" max="7956" width="13.85546875" style="495" customWidth="1"/>
    <col min="7957" max="7957" width="12.140625" style="495" customWidth="1"/>
    <col min="7958" max="7959" width="9.140625" style="495"/>
    <col min="7960" max="7960" width="10.85546875" style="495" customWidth="1"/>
    <col min="7961" max="7961" width="9.140625" style="495"/>
    <col min="7962" max="7962" width="23.140625" style="495" customWidth="1"/>
    <col min="7963" max="7963" width="16.7109375" style="495" bestFit="1" customWidth="1"/>
    <col min="7964" max="7964" width="17.28515625" style="495" bestFit="1" customWidth="1"/>
    <col min="7965" max="7965" width="9.140625" style="495"/>
    <col min="7966" max="7966" width="12.7109375" style="495" customWidth="1"/>
    <col min="7967" max="7967" width="12" style="495" customWidth="1"/>
    <col min="7968" max="7968" width="10.7109375" style="495" customWidth="1"/>
    <col min="7969" max="8191" width="9.140625" style="495"/>
    <col min="8192" max="8192" width="10.28515625" style="495" bestFit="1" customWidth="1"/>
    <col min="8193" max="8203" width="0" style="495" hidden="1" customWidth="1"/>
    <col min="8204" max="8204" width="8.85546875" style="495" customWidth="1"/>
    <col min="8205" max="8205" width="21" style="495" customWidth="1"/>
    <col min="8206" max="8206" width="17.7109375" style="495" customWidth="1"/>
    <col min="8207" max="8207" width="8.85546875" style="495" customWidth="1"/>
    <col min="8208" max="8208" width="0.28515625" style="495" customWidth="1"/>
    <col min="8209" max="8209" width="9.140625" style="495"/>
    <col min="8210" max="8210" width="11.85546875" style="495" customWidth="1"/>
    <col min="8211" max="8211" width="18.7109375" style="495" customWidth="1"/>
    <col min="8212" max="8212" width="13.85546875" style="495" customWidth="1"/>
    <col min="8213" max="8213" width="12.140625" style="495" customWidth="1"/>
    <col min="8214" max="8215" width="9.140625" style="495"/>
    <col min="8216" max="8216" width="10.85546875" style="495" customWidth="1"/>
    <col min="8217" max="8217" width="9.140625" style="495"/>
    <col min="8218" max="8218" width="23.140625" style="495" customWidth="1"/>
    <col min="8219" max="8219" width="16.7109375" style="495" bestFit="1" customWidth="1"/>
    <col min="8220" max="8220" width="17.28515625" style="495" bestFit="1" customWidth="1"/>
    <col min="8221" max="8221" width="9.140625" style="495"/>
    <col min="8222" max="8222" width="12.7109375" style="495" customWidth="1"/>
    <col min="8223" max="8223" width="12" style="495" customWidth="1"/>
    <col min="8224" max="8224" width="10.7109375" style="495" customWidth="1"/>
    <col min="8225" max="8447" width="9.140625" style="495"/>
    <col min="8448" max="8448" width="10.28515625" style="495" bestFit="1" customWidth="1"/>
    <col min="8449" max="8459" width="0" style="495" hidden="1" customWidth="1"/>
    <col min="8460" max="8460" width="8.85546875" style="495" customWidth="1"/>
    <col min="8461" max="8461" width="21" style="495" customWidth="1"/>
    <col min="8462" max="8462" width="17.7109375" style="495" customWidth="1"/>
    <col min="8463" max="8463" width="8.85546875" style="495" customWidth="1"/>
    <col min="8464" max="8464" width="0.28515625" style="495" customWidth="1"/>
    <col min="8465" max="8465" width="9.140625" style="495"/>
    <col min="8466" max="8466" width="11.85546875" style="495" customWidth="1"/>
    <col min="8467" max="8467" width="18.7109375" style="495" customWidth="1"/>
    <col min="8468" max="8468" width="13.85546875" style="495" customWidth="1"/>
    <col min="8469" max="8469" width="12.140625" style="495" customWidth="1"/>
    <col min="8470" max="8471" width="9.140625" style="495"/>
    <col min="8472" max="8472" width="10.85546875" style="495" customWidth="1"/>
    <col min="8473" max="8473" width="9.140625" style="495"/>
    <col min="8474" max="8474" width="23.140625" style="495" customWidth="1"/>
    <col min="8475" max="8475" width="16.7109375" style="495" bestFit="1" customWidth="1"/>
    <col min="8476" max="8476" width="17.28515625" style="495" bestFit="1" customWidth="1"/>
    <col min="8477" max="8477" width="9.140625" style="495"/>
    <col min="8478" max="8478" width="12.7109375" style="495" customWidth="1"/>
    <col min="8479" max="8479" width="12" style="495" customWidth="1"/>
    <col min="8480" max="8480" width="10.7109375" style="495" customWidth="1"/>
    <col min="8481" max="8703" width="9.140625" style="495"/>
    <col min="8704" max="8704" width="10.28515625" style="495" bestFit="1" customWidth="1"/>
    <col min="8705" max="8715" width="0" style="495" hidden="1" customWidth="1"/>
    <col min="8716" max="8716" width="8.85546875" style="495" customWidth="1"/>
    <col min="8717" max="8717" width="21" style="495" customWidth="1"/>
    <col min="8718" max="8718" width="17.7109375" style="495" customWidth="1"/>
    <col min="8719" max="8719" width="8.85546875" style="495" customWidth="1"/>
    <col min="8720" max="8720" width="0.28515625" style="495" customWidth="1"/>
    <col min="8721" max="8721" width="9.140625" style="495"/>
    <col min="8722" max="8722" width="11.85546875" style="495" customWidth="1"/>
    <col min="8723" max="8723" width="18.7109375" style="495" customWidth="1"/>
    <col min="8724" max="8724" width="13.85546875" style="495" customWidth="1"/>
    <col min="8725" max="8725" width="12.140625" style="495" customWidth="1"/>
    <col min="8726" max="8727" width="9.140625" style="495"/>
    <col min="8728" max="8728" width="10.85546875" style="495" customWidth="1"/>
    <col min="8729" max="8729" width="9.140625" style="495"/>
    <col min="8730" max="8730" width="23.140625" style="495" customWidth="1"/>
    <col min="8731" max="8731" width="16.7109375" style="495" bestFit="1" customWidth="1"/>
    <col min="8732" max="8732" width="17.28515625" style="495" bestFit="1" customWidth="1"/>
    <col min="8733" max="8733" width="9.140625" style="495"/>
    <col min="8734" max="8734" width="12.7109375" style="495" customWidth="1"/>
    <col min="8735" max="8735" width="12" style="495" customWidth="1"/>
    <col min="8736" max="8736" width="10.7109375" style="495" customWidth="1"/>
    <col min="8737" max="8959" width="9.140625" style="495"/>
    <col min="8960" max="8960" width="10.28515625" style="495" bestFit="1" customWidth="1"/>
    <col min="8961" max="8971" width="0" style="495" hidden="1" customWidth="1"/>
    <col min="8972" max="8972" width="8.85546875" style="495" customWidth="1"/>
    <col min="8973" max="8973" width="21" style="495" customWidth="1"/>
    <col min="8974" max="8974" width="17.7109375" style="495" customWidth="1"/>
    <col min="8975" max="8975" width="8.85546875" style="495" customWidth="1"/>
    <col min="8976" max="8976" width="0.28515625" style="495" customWidth="1"/>
    <col min="8977" max="8977" width="9.140625" style="495"/>
    <col min="8978" max="8978" width="11.85546875" style="495" customWidth="1"/>
    <col min="8979" max="8979" width="18.7109375" style="495" customWidth="1"/>
    <col min="8980" max="8980" width="13.85546875" style="495" customWidth="1"/>
    <col min="8981" max="8981" width="12.140625" style="495" customWidth="1"/>
    <col min="8982" max="8983" width="9.140625" style="495"/>
    <col min="8984" max="8984" width="10.85546875" style="495" customWidth="1"/>
    <col min="8985" max="8985" width="9.140625" style="495"/>
    <col min="8986" max="8986" width="23.140625" style="495" customWidth="1"/>
    <col min="8987" max="8987" width="16.7109375" style="495" bestFit="1" customWidth="1"/>
    <col min="8988" max="8988" width="17.28515625" style="495" bestFit="1" customWidth="1"/>
    <col min="8989" max="8989" width="9.140625" style="495"/>
    <col min="8990" max="8990" width="12.7109375" style="495" customWidth="1"/>
    <col min="8991" max="8991" width="12" style="495" customWidth="1"/>
    <col min="8992" max="8992" width="10.7109375" style="495" customWidth="1"/>
    <col min="8993" max="9215" width="9.140625" style="495"/>
    <col min="9216" max="9216" width="10.28515625" style="495" bestFit="1" customWidth="1"/>
    <col min="9217" max="9227" width="0" style="495" hidden="1" customWidth="1"/>
    <col min="9228" max="9228" width="8.85546875" style="495" customWidth="1"/>
    <col min="9229" max="9229" width="21" style="495" customWidth="1"/>
    <col min="9230" max="9230" width="17.7109375" style="495" customWidth="1"/>
    <col min="9231" max="9231" width="8.85546875" style="495" customWidth="1"/>
    <col min="9232" max="9232" width="0.28515625" style="495" customWidth="1"/>
    <col min="9233" max="9233" width="9.140625" style="495"/>
    <col min="9234" max="9234" width="11.85546875" style="495" customWidth="1"/>
    <col min="9235" max="9235" width="18.7109375" style="495" customWidth="1"/>
    <col min="9236" max="9236" width="13.85546875" style="495" customWidth="1"/>
    <col min="9237" max="9237" width="12.140625" style="495" customWidth="1"/>
    <col min="9238" max="9239" width="9.140625" style="495"/>
    <col min="9240" max="9240" width="10.85546875" style="495" customWidth="1"/>
    <col min="9241" max="9241" width="9.140625" style="495"/>
    <col min="9242" max="9242" width="23.140625" style="495" customWidth="1"/>
    <col min="9243" max="9243" width="16.7109375" style="495" bestFit="1" customWidth="1"/>
    <col min="9244" max="9244" width="17.28515625" style="495" bestFit="1" customWidth="1"/>
    <col min="9245" max="9245" width="9.140625" style="495"/>
    <col min="9246" max="9246" width="12.7109375" style="495" customWidth="1"/>
    <col min="9247" max="9247" width="12" style="495" customWidth="1"/>
    <col min="9248" max="9248" width="10.7109375" style="495" customWidth="1"/>
    <col min="9249" max="9471" width="9.140625" style="495"/>
    <col min="9472" max="9472" width="10.28515625" style="495" bestFit="1" customWidth="1"/>
    <col min="9473" max="9483" width="0" style="495" hidden="1" customWidth="1"/>
    <col min="9484" max="9484" width="8.85546875" style="495" customWidth="1"/>
    <col min="9485" max="9485" width="21" style="495" customWidth="1"/>
    <col min="9486" max="9486" width="17.7109375" style="495" customWidth="1"/>
    <col min="9487" max="9487" width="8.85546875" style="495" customWidth="1"/>
    <col min="9488" max="9488" width="0.28515625" style="495" customWidth="1"/>
    <col min="9489" max="9489" width="9.140625" style="495"/>
    <col min="9490" max="9490" width="11.85546875" style="495" customWidth="1"/>
    <col min="9491" max="9491" width="18.7109375" style="495" customWidth="1"/>
    <col min="9492" max="9492" width="13.85546875" style="495" customWidth="1"/>
    <col min="9493" max="9493" width="12.140625" style="495" customWidth="1"/>
    <col min="9494" max="9495" width="9.140625" style="495"/>
    <col min="9496" max="9496" width="10.85546875" style="495" customWidth="1"/>
    <col min="9497" max="9497" width="9.140625" style="495"/>
    <col min="9498" max="9498" width="23.140625" style="495" customWidth="1"/>
    <col min="9499" max="9499" width="16.7109375" style="495" bestFit="1" customWidth="1"/>
    <col min="9500" max="9500" width="17.28515625" style="495" bestFit="1" customWidth="1"/>
    <col min="9501" max="9501" width="9.140625" style="495"/>
    <col min="9502" max="9502" width="12.7109375" style="495" customWidth="1"/>
    <col min="9503" max="9503" width="12" style="495" customWidth="1"/>
    <col min="9504" max="9504" width="10.7109375" style="495" customWidth="1"/>
    <col min="9505" max="9727" width="9.140625" style="495"/>
    <col min="9728" max="9728" width="10.28515625" style="495" bestFit="1" customWidth="1"/>
    <col min="9729" max="9739" width="0" style="495" hidden="1" customWidth="1"/>
    <col min="9740" max="9740" width="8.85546875" style="495" customWidth="1"/>
    <col min="9741" max="9741" width="21" style="495" customWidth="1"/>
    <col min="9742" max="9742" width="17.7109375" style="495" customWidth="1"/>
    <col min="9743" max="9743" width="8.85546875" style="495" customWidth="1"/>
    <col min="9744" max="9744" width="0.28515625" style="495" customWidth="1"/>
    <col min="9745" max="9745" width="9.140625" style="495"/>
    <col min="9746" max="9746" width="11.85546875" style="495" customWidth="1"/>
    <col min="9747" max="9747" width="18.7109375" style="495" customWidth="1"/>
    <col min="9748" max="9748" width="13.85546875" style="495" customWidth="1"/>
    <col min="9749" max="9749" width="12.140625" style="495" customWidth="1"/>
    <col min="9750" max="9751" width="9.140625" style="495"/>
    <col min="9752" max="9752" width="10.85546875" style="495" customWidth="1"/>
    <col min="9753" max="9753" width="9.140625" style="495"/>
    <col min="9754" max="9754" width="23.140625" style="495" customWidth="1"/>
    <col min="9755" max="9755" width="16.7109375" style="495" bestFit="1" customWidth="1"/>
    <col min="9756" max="9756" width="17.28515625" style="495" bestFit="1" customWidth="1"/>
    <col min="9757" max="9757" width="9.140625" style="495"/>
    <col min="9758" max="9758" width="12.7109375" style="495" customWidth="1"/>
    <col min="9759" max="9759" width="12" style="495" customWidth="1"/>
    <col min="9760" max="9760" width="10.7109375" style="495" customWidth="1"/>
    <col min="9761" max="9983" width="9.140625" style="495"/>
    <col min="9984" max="9984" width="10.28515625" style="495" bestFit="1" customWidth="1"/>
    <col min="9985" max="9995" width="0" style="495" hidden="1" customWidth="1"/>
    <col min="9996" max="9996" width="8.85546875" style="495" customWidth="1"/>
    <col min="9997" max="9997" width="21" style="495" customWidth="1"/>
    <col min="9998" max="9998" width="17.7109375" style="495" customWidth="1"/>
    <col min="9999" max="9999" width="8.85546875" style="495" customWidth="1"/>
    <col min="10000" max="10000" width="0.28515625" style="495" customWidth="1"/>
    <col min="10001" max="10001" width="9.140625" style="495"/>
    <col min="10002" max="10002" width="11.85546875" style="495" customWidth="1"/>
    <col min="10003" max="10003" width="18.7109375" style="495" customWidth="1"/>
    <col min="10004" max="10004" width="13.85546875" style="495" customWidth="1"/>
    <col min="10005" max="10005" width="12.140625" style="495" customWidth="1"/>
    <col min="10006" max="10007" width="9.140625" style="495"/>
    <col min="10008" max="10008" width="10.85546875" style="495" customWidth="1"/>
    <col min="10009" max="10009" width="9.140625" style="495"/>
    <col min="10010" max="10010" width="23.140625" style="495" customWidth="1"/>
    <col min="10011" max="10011" width="16.7109375" style="495" bestFit="1" customWidth="1"/>
    <col min="10012" max="10012" width="17.28515625" style="495" bestFit="1" customWidth="1"/>
    <col min="10013" max="10013" width="9.140625" style="495"/>
    <col min="10014" max="10014" width="12.7109375" style="495" customWidth="1"/>
    <col min="10015" max="10015" width="12" style="495" customWidth="1"/>
    <col min="10016" max="10016" width="10.7109375" style="495" customWidth="1"/>
    <col min="10017" max="10239" width="9.140625" style="495"/>
    <col min="10240" max="10240" width="10.28515625" style="495" bestFit="1" customWidth="1"/>
    <col min="10241" max="10251" width="0" style="495" hidden="1" customWidth="1"/>
    <col min="10252" max="10252" width="8.85546875" style="495" customWidth="1"/>
    <col min="10253" max="10253" width="21" style="495" customWidth="1"/>
    <col min="10254" max="10254" width="17.7109375" style="495" customWidth="1"/>
    <col min="10255" max="10255" width="8.85546875" style="495" customWidth="1"/>
    <col min="10256" max="10256" width="0.28515625" style="495" customWidth="1"/>
    <col min="10257" max="10257" width="9.140625" style="495"/>
    <col min="10258" max="10258" width="11.85546875" style="495" customWidth="1"/>
    <col min="10259" max="10259" width="18.7109375" style="495" customWidth="1"/>
    <col min="10260" max="10260" width="13.85546875" style="495" customWidth="1"/>
    <col min="10261" max="10261" width="12.140625" style="495" customWidth="1"/>
    <col min="10262" max="10263" width="9.140625" style="495"/>
    <col min="10264" max="10264" width="10.85546875" style="495" customWidth="1"/>
    <col min="10265" max="10265" width="9.140625" style="495"/>
    <col min="10266" max="10266" width="23.140625" style="495" customWidth="1"/>
    <col min="10267" max="10267" width="16.7109375" style="495" bestFit="1" customWidth="1"/>
    <col min="10268" max="10268" width="17.28515625" style="495" bestFit="1" customWidth="1"/>
    <col min="10269" max="10269" width="9.140625" style="495"/>
    <col min="10270" max="10270" width="12.7109375" style="495" customWidth="1"/>
    <col min="10271" max="10271" width="12" style="495" customWidth="1"/>
    <col min="10272" max="10272" width="10.7109375" style="495" customWidth="1"/>
    <col min="10273" max="10495" width="9.140625" style="495"/>
    <col min="10496" max="10496" width="10.28515625" style="495" bestFit="1" customWidth="1"/>
    <col min="10497" max="10507" width="0" style="495" hidden="1" customWidth="1"/>
    <col min="10508" max="10508" width="8.85546875" style="495" customWidth="1"/>
    <col min="10509" max="10509" width="21" style="495" customWidth="1"/>
    <col min="10510" max="10510" width="17.7109375" style="495" customWidth="1"/>
    <col min="10511" max="10511" width="8.85546875" style="495" customWidth="1"/>
    <col min="10512" max="10512" width="0.28515625" style="495" customWidth="1"/>
    <col min="10513" max="10513" width="9.140625" style="495"/>
    <col min="10514" max="10514" width="11.85546875" style="495" customWidth="1"/>
    <col min="10515" max="10515" width="18.7109375" style="495" customWidth="1"/>
    <col min="10516" max="10516" width="13.85546875" style="495" customWidth="1"/>
    <col min="10517" max="10517" width="12.140625" style="495" customWidth="1"/>
    <col min="10518" max="10519" width="9.140625" style="495"/>
    <col min="10520" max="10520" width="10.85546875" style="495" customWidth="1"/>
    <col min="10521" max="10521" width="9.140625" style="495"/>
    <col min="10522" max="10522" width="23.140625" style="495" customWidth="1"/>
    <col min="10523" max="10523" width="16.7109375" style="495" bestFit="1" customWidth="1"/>
    <col min="10524" max="10524" width="17.28515625" style="495" bestFit="1" customWidth="1"/>
    <col min="10525" max="10525" width="9.140625" style="495"/>
    <col min="10526" max="10526" width="12.7109375" style="495" customWidth="1"/>
    <col min="10527" max="10527" width="12" style="495" customWidth="1"/>
    <col min="10528" max="10528" width="10.7109375" style="495" customWidth="1"/>
    <col min="10529" max="10751" width="9.140625" style="495"/>
    <col min="10752" max="10752" width="10.28515625" style="495" bestFit="1" customWidth="1"/>
    <col min="10753" max="10763" width="0" style="495" hidden="1" customWidth="1"/>
    <col min="10764" max="10764" width="8.85546875" style="495" customWidth="1"/>
    <col min="10765" max="10765" width="21" style="495" customWidth="1"/>
    <col min="10766" max="10766" width="17.7109375" style="495" customWidth="1"/>
    <col min="10767" max="10767" width="8.85546875" style="495" customWidth="1"/>
    <col min="10768" max="10768" width="0.28515625" style="495" customWidth="1"/>
    <col min="10769" max="10769" width="9.140625" style="495"/>
    <col min="10770" max="10770" width="11.85546875" style="495" customWidth="1"/>
    <col min="10771" max="10771" width="18.7109375" style="495" customWidth="1"/>
    <col min="10772" max="10772" width="13.85546875" style="495" customWidth="1"/>
    <col min="10773" max="10773" width="12.140625" style="495" customWidth="1"/>
    <col min="10774" max="10775" width="9.140625" style="495"/>
    <col min="10776" max="10776" width="10.85546875" style="495" customWidth="1"/>
    <col min="10777" max="10777" width="9.140625" style="495"/>
    <col min="10778" max="10778" width="23.140625" style="495" customWidth="1"/>
    <col min="10779" max="10779" width="16.7109375" style="495" bestFit="1" customWidth="1"/>
    <col min="10780" max="10780" width="17.28515625" style="495" bestFit="1" customWidth="1"/>
    <col min="10781" max="10781" width="9.140625" style="495"/>
    <col min="10782" max="10782" width="12.7109375" style="495" customWidth="1"/>
    <col min="10783" max="10783" width="12" style="495" customWidth="1"/>
    <col min="10784" max="10784" width="10.7109375" style="495" customWidth="1"/>
    <col min="10785" max="11007" width="9.140625" style="495"/>
    <col min="11008" max="11008" width="10.28515625" style="495" bestFit="1" customWidth="1"/>
    <col min="11009" max="11019" width="0" style="495" hidden="1" customWidth="1"/>
    <col min="11020" max="11020" width="8.85546875" style="495" customWidth="1"/>
    <col min="11021" max="11021" width="21" style="495" customWidth="1"/>
    <col min="11022" max="11022" width="17.7109375" style="495" customWidth="1"/>
    <col min="11023" max="11023" width="8.85546875" style="495" customWidth="1"/>
    <col min="11024" max="11024" width="0.28515625" style="495" customWidth="1"/>
    <col min="11025" max="11025" width="9.140625" style="495"/>
    <col min="11026" max="11026" width="11.85546875" style="495" customWidth="1"/>
    <col min="11027" max="11027" width="18.7109375" style="495" customWidth="1"/>
    <col min="11028" max="11028" width="13.85546875" style="495" customWidth="1"/>
    <col min="11029" max="11029" width="12.140625" style="495" customWidth="1"/>
    <col min="11030" max="11031" width="9.140625" style="495"/>
    <col min="11032" max="11032" width="10.85546875" style="495" customWidth="1"/>
    <col min="11033" max="11033" width="9.140625" style="495"/>
    <col min="11034" max="11034" width="23.140625" style="495" customWidth="1"/>
    <col min="11035" max="11035" width="16.7109375" style="495" bestFit="1" customWidth="1"/>
    <col min="11036" max="11036" width="17.28515625" style="495" bestFit="1" customWidth="1"/>
    <col min="11037" max="11037" width="9.140625" style="495"/>
    <col min="11038" max="11038" width="12.7109375" style="495" customWidth="1"/>
    <col min="11039" max="11039" width="12" style="495" customWidth="1"/>
    <col min="11040" max="11040" width="10.7109375" style="495" customWidth="1"/>
    <col min="11041" max="11263" width="9.140625" style="495"/>
    <col min="11264" max="11264" width="10.28515625" style="495" bestFit="1" customWidth="1"/>
    <col min="11265" max="11275" width="0" style="495" hidden="1" customWidth="1"/>
    <col min="11276" max="11276" width="8.85546875" style="495" customWidth="1"/>
    <col min="11277" max="11277" width="21" style="495" customWidth="1"/>
    <col min="11278" max="11278" width="17.7109375" style="495" customWidth="1"/>
    <col min="11279" max="11279" width="8.85546875" style="495" customWidth="1"/>
    <col min="11280" max="11280" width="0.28515625" style="495" customWidth="1"/>
    <col min="11281" max="11281" width="9.140625" style="495"/>
    <col min="11282" max="11282" width="11.85546875" style="495" customWidth="1"/>
    <col min="11283" max="11283" width="18.7109375" style="495" customWidth="1"/>
    <col min="11284" max="11284" width="13.85546875" style="495" customWidth="1"/>
    <col min="11285" max="11285" width="12.140625" style="495" customWidth="1"/>
    <col min="11286" max="11287" width="9.140625" style="495"/>
    <col min="11288" max="11288" width="10.85546875" style="495" customWidth="1"/>
    <col min="11289" max="11289" width="9.140625" style="495"/>
    <col min="11290" max="11290" width="23.140625" style="495" customWidth="1"/>
    <col min="11291" max="11291" width="16.7109375" style="495" bestFit="1" customWidth="1"/>
    <col min="11292" max="11292" width="17.28515625" style="495" bestFit="1" customWidth="1"/>
    <col min="11293" max="11293" width="9.140625" style="495"/>
    <col min="11294" max="11294" width="12.7109375" style="495" customWidth="1"/>
    <col min="11295" max="11295" width="12" style="495" customWidth="1"/>
    <col min="11296" max="11296" width="10.7109375" style="495" customWidth="1"/>
    <col min="11297" max="11519" width="9.140625" style="495"/>
    <col min="11520" max="11520" width="10.28515625" style="495" bestFit="1" customWidth="1"/>
    <col min="11521" max="11531" width="0" style="495" hidden="1" customWidth="1"/>
    <col min="11532" max="11532" width="8.85546875" style="495" customWidth="1"/>
    <col min="11533" max="11533" width="21" style="495" customWidth="1"/>
    <col min="11534" max="11534" width="17.7109375" style="495" customWidth="1"/>
    <col min="11535" max="11535" width="8.85546875" style="495" customWidth="1"/>
    <col min="11536" max="11536" width="0.28515625" style="495" customWidth="1"/>
    <col min="11537" max="11537" width="9.140625" style="495"/>
    <col min="11538" max="11538" width="11.85546875" style="495" customWidth="1"/>
    <col min="11539" max="11539" width="18.7109375" style="495" customWidth="1"/>
    <col min="11540" max="11540" width="13.85546875" style="495" customWidth="1"/>
    <col min="11541" max="11541" width="12.140625" style="495" customWidth="1"/>
    <col min="11542" max="11543" width="9.140625" style="495"/>
    <col min="11544" max="11544" width="10.85546875" style="495" customWidth="1"/>
    <col min="11545" max="11545" width="9.140625" style="495"/>
    <col min="11546" max="11546" width="23.140625" style="495" customWidth="1"/>
    <col min="11547" max="11547" width="16.7109375" style="495" bestFit="1" customWidth="1"/>
    <col min="11548" max="11548" width="17.28515625" style="495" bestFit="1" customWidth="1"/>
    <col min="11549" max="11549" width="9.140625" style="495"/>
    <col min="11550" max="11550" width="12.7109375" style="495" customWidth="1"/>
    <col min="11551" max="11551" width="12" style="495" customWidth="1"/>
    <col min="11552" max="11552" width="10.7109375" style="495" customWidth="1"/>
    <col min="11553" max="11775" width="9.140625" style="495"/>
    <col min="11776" max="11776" width="10.28515625" style="495" bestFit="1" customWidth="1"/>
    <col min="11777" max="11787" width="0" style="495" hidden="1" customWidth="1"/>
    <col min="11788" max="11788" width="8.85546875" style="495" customWidth="1"/>
    <col min="11789" max="11789" width="21" style="495" customWidth="1"/>
    <col min="11790" max="11790" width="17.7109375" style="495" customWidth="1"/>
    <col min="11791" max="11791" width="8.85546875" style="495" customWidth="1"/>
    <col min="11792" max="11792" width="0.28515625" style="495" customWidth="1"/>
    <col min="11793" max="11793" width="9.140625" style="495"/>
    <col min="11794" max="11794" width="11.85546875" style="495" customWidth="1"/>
    <col min="11795" max="11795" width="18.7109375" style="495" customWidth="1"/>
    <col min="11796" max="11796" width="13.85546875" style="495" customWidth="1"/>
    <col min="11797" max="11797" width="12.140625" style="495" customWidth="1"/>
    <col min="11798" max="11799" width="9.140625" style="495"/>
    <col min="11800" max="11800" width="10.85546875" style="495" customWidth="1"/>
    <col min="11801" max="11801" width="9.140625" style="495"/>
    <col min="11802" max="11802" width="23.140625" style="495" customWidth="1"/>
    <col min="11803" max="11803" width="16.7109375" style="495" bestFit="1" customWidth="1"/>
    <col min="11804" max="11804" width="17.28515625" style="495" bestFit="1" customWidth="1"/>
    <col min="11805" max="11805" width="9.140625" style="495"/>
    <col min="11806" max="11806" width="12.7109375" style="495" customWidth="1"/>
    <col min="11807" max="11807" width="12" style="495" customWidth="1"/>
    <col min="11808" max="11808" width="10.7109375" style="495" customWidth="1"/>
    <col min="11809" max="12031" width="9.140625" style="495"/>
    <col min="12032" max="12032" width="10.28515625" style="495" bestFit="1" customWidth="1"/>
    <col min="12033" max="12043" width="0" style="495" hidden="1" customWidth="1"/>
    <col min="12044" max="12044" width="8.85546875" style="495" customWidth="1"/>
    <col min="12045" max="12045" width="21" style="495" customWidth="1"/>
    <col min="12046" max="12046" width="17.7109375" style="495" customWidth="1"/>
    <col min="12047" max="12047" width="8.85546875" style="495" customWidth="1"/>
    <col min="12048" max="12048" width="0.28515625" style="495" customWidth="1"/>
    <col min="12049" max="12049" width="9.140625" style="495"/>
    <col min="12050" max="12050" width="11.85546875" style="495" customWidth="1"/>
    <col min="12051" max="12051" width="18.7109375" style="495" customWidth="1"/>
    <col min="12052" max="12052" width="13.85546875" style="495" customWidth="1"/>
    <col min="12053" max="12053" width="12.140625" style="495" customWidth="1"/>
    <col min="12054" max="12055" width="9.140625" style="495"/>
    <col min="12056" max="12056" width="10.85546875" style="495" customWidth="1"/>
    <col min="12057" max="12057" width="9.140625" style="495"/>
    <col min="12058" max="12058" width="23.140625" style="495" customWidth="1"/>
    <col min="12059" max="12059" width="16.7109375" style="495" bestFit="1" customWidth="1"/>
    <col min="12060" max="12060" width="17.28515625" style="495" bestFit="1" customWidth="1"/>
    <col min="12061" max="12061" width="9.140625" style="495"/>
    <col min="12062" max="12062" width="12.7109375" style="495" customWidth="1"/>
    <col min="12063" max="12063" width="12" style="495" customWidth="1"/>
    <col min="12064" max="12064" width="10.7109375" style="495" customWidth="1"/>
    <col min="12065" max="12287" width="9.140625" style="495"/>
    <col min="12288" max="12288" width="10.28515625" style="495" bestFit="1" customWidth="1"/>
    <col min="12289" max="12299" width="0" style="495" hidden="1" customWidth="1"/>
    <col min="12300" max="12300" width="8.85546875" style="495" customWidth="1"/>
    <col min="12301" max="12301" width="21" style="495" customWidth="1"/>
    <col min="12302" max="12302" width="17.7109375" style="495" customWidth="1"/>
    <col min="12303" max="12303" width="8.85546875" style="495" customWidth="1"/>
    <col min="12304" max="12304" width="0.28515625" style="495" customWidth="1"/>
    <col min="12305" max="12305" width="9.140625" style="495"/>
    <col min="12306" max="12306" width="11.85546875" style="495" customWidth="1"/>
    <col min="12307" max="12307" width="18.7109375" style="495" customWidth="1"/>
    <col min="12308" max="12308" width="13.85546875" style="495" customWidth="1"/>
    <col min="12309" max="12309" width="12.140625" style="495" customWidth="1"/>
    <col min="12310" max="12311" width="9.140625" style="495"/>
    <col min="12312" max="12312" width="10.85546875" style="495" customWidth="1"/>
    <col min="12313" max="12313" width="9.140625" style="495"/>
    <col min="12314" max="12314" width="23.140625" style="495" customWidth="1"/>
    <col min="12315" max="12315" width="16.7109375" style="495" bestFit="1" customWidth="1"/>
    <col min="12316" max="12316" width="17.28515625" style="495" bestFit="1" customWidth="1"/>
    <col min="12317" max="12317" width="9.140625" style="495"/>
    <col min="12318" max="12318" width="12.7109375" style="495" customWidth="1"/>
    <col min="12319" max="12319" width="12" style="495" customWidth="1"/>
    <col min="12320" max="12320" width="10.7109375" style="495" customWidth="1"/>
    <col min="12321" max="12543" width="9.140625" style="495"/>
    <col min="12544" max="12544" width="10.28515625" style="495" bestFit="1" customWidth="1"/>
    <col min="12545" max="12555" width="0" style="495" hidden="1" customWidth="1"/>
    <col min="12556" max="12556" width="8.85546875" style="495" customWidth="1"/>
    <col min="12557" max="12557" width="21" style="495" customWidth="1"/>
    <col min="12558" max="12558" width="17.7109375" style="495" customWidth="1"/>
    <col min="12559" max="12559" width="8.85546875" style="495" customWidth="1"/>
    <col min="12560" max="12560" width="0.28515625" style="495" customWidth="1"/>
    <col min="12561" max="12561" width="9.140625" style="495"/>
    <col min="12562" max="12562" width="11.85546875" style="495" customWidth="1"/>
    <col min="12563" max="12563" width="18.7109375" style="495" customWidth="1"/>
    <col min="12564" max="12564" width="13.85546875" style="495" customWidth="1"/>
    <col min="12565" max="12565" width="12.140625" style="495" customWidth="1"/>
    <col min="12566" max="12567" width="9.140625" style="495"/>
    <col min="12568" max="12568" width="10.85546875" style="495" customWidth="1"/>
    <col min="12569" max="12569" width="9.140625" style="495"/>
    <col min="12570" max="12570" width="23.140625" style="495" customWidth="1"/>
    <col min="12571" max="12571" width="16.7109375" style="495" bestFit="1" customWidth="1"/>
    <col min="12572" max="12572" width="17.28515625" style="495" bestFit="1" customWidth="1"/>
    <col min="12573" max="12573" width="9.140625" style="495"/>
    <col min="12574" max="12574" width="12.7109375" style="495" customWidth="1"/>
    <col min="12575" max="12575" width="12" style="495" customWidth="1"/>
    <col min="12576" max="12576" width="10.7109375" style="495" customWidth="1"/>
    <col min="12577" max="12799" width="9.140625" style="495"/>
    <col min="12800" max="12800" width="10.28515625" style="495" bestFit="1" customWidth="1"/>
    <col min="12801" max="12811" width="0" style="495" hidden="1" customWidth="1"/>
    <col min="12812" max="12812" width="8.85546875" style="495" customWidth="1"/>
    <col min="12813" max="12813" width="21" style="495" customWidth="1"/>
    <col min="12814" max="12814" width="17.7109375" style="495" customWidth="1"/>
    <col min="12815" max="12815" width="8.85546875" style="495" customWidth="1"/>
    <col min="12816" max="12816" width="0.28515625" style="495" customWidth="1"/>
    <col min="12817" max="12817" width="9.140625" style="495"/>
    <col min="12818" max="12818" width="11.85546875" style="495" customWidth="1"/>
    <col min="12819" max="12819" width="18.7109375" style="495" customWidth="1"/>
    <col min="12820" max="12820" width="13.85546875" style="495" customWidth="1"/>
    <col min="12821" max="12821" width="12.140625" style="495" customWidth="1"/>
    <col min="12822" max="12823" width="9.140625" style="495"/>
    <col min="12824" max="12824" width="10.85546875" style="495" customWidth="1"/>
    <col min="12825" max="12825" width="9.140625" style="495"/>
    <col min="12826" max="12826" width="23.140625" style="495" customWidth="1"/>
    <col min="12827" max="12827" width="16.7109375" style="495" bestFit="1" customWidth="1"/>
    <col min="12828" max="12828" width="17.28515625" style="495" bestFit="1" customWidth="1"/>
    <col min="12829" max="12829" width="9.140625" style="495"/>
    <col min="12830" max="12830" width="12.7109375" style="495" customWidth="1"/>
    <col min="12831" max="12831" width="12" style="495" customWidth="1"/>
    <col min="12832" max="12832" width="10.7109375" style="495" customWidth="1"/>
    <col min="12833" max="13055" width="9.140625" style="495"/>
    <col min="13056" max="13056" width="10.28515625" style="495" bestFit="1" customWidth="1"/>
    <col min="13057" max="13067" width="0" style="495" hidden="1" customWidth="1"/>
    <col min="13068" max="13068" width="8.85546875" style="495" customWidth="1"/>
    <col min="13069" max="13069" width="21" style="495" customWidth="1"/>
    <col min="13070" max="13070" width="17.7109375" style="495" customWidth="1"/>
    <col min="13071" max="13071" width="8.85546875" style="495" customWidth="1"/>
    <col min="13072" max="13072" width="0.28515625" style="495" customWidth="1"/>
    <col min="13073" max="13073" width="9.140625" style="495"/>
    <col min="13074" max="13074" width="11.85546875" style="495" customWidth="1"/>
    <col min="13075" max="13075" width="18.7109375" style="495" customWidth="1"/>
    <col min="13076" max="13076" width="13.85546875" style="495" customWidth="1"/>
    <col min="13077" max="13077" width="12.140625" style="495" customWidth="1"/>
    <col min="13078" max="13079" width="9.140625" style="495"/>
    <col min="13080" max="13080" width="10.85546875" style="495" customWidth="1"/>
    <col min="13081" max="13081" width="9.140625" style="495"/>
    <col min="13082" max="13082" width="23.140625" style="495" customWidth="1"/>
    <col min="13083" max="13083" width="16.7109375" style="495" bestFit="1" customWidth="1"/>
    <col min="13084" max="13084" width="17.28515625" style="495" bestFit="1" customWidth="1"/>
    <col min="13085" max="13085" width="9.140625" style="495"/>
    <col min="13086" max="13086" width="12.7109375" style="495" customWidth="1"/>
    <col min="13087" max="13087" width="12" style="495" customWidth="1"/>
    <col min="13088" max="13088" width="10.7109375" style="495" customWidth="1"/>
    <col min="13089" max="13311" width="9.140625" style="495"/>
    <col min="13312" max="13312" width="10.28515625" style="495" bestFit="1" customWidth="1"/>
    <col min="13313" max="13323" width="0" style="495" hidden="1" customWidth="1"/>
    <col min="13324" max="13324" width="8.85546875" style="495" customWidth="1"/>
    <col min="13325" max="13325" width="21" style="495" customWidth="1"/>
    <col min="13326" max="13326" width="17.7109375" style="495" customWidth="1"/>
    <col min="13327" max="13327" width="8.85546875" style="495" customWidth="1"/>
    <col min="13328" max="13328" width="0.28515625" style="495" customWidth="1"/>
    <col min="13329" max="13329" width="9.140625" style="495"/>
    <col min="13330" max="13330" width="11.85546875" style="495" customWidth="1"/>
    <col min="13331" max="13331" width="18.7109375" style="495" customWidth="1"/>
    <col min="13332" max="13332" width="13.85546875" style="495" customWidth="1"/>
    <col min="13333" max="13333" width="12.140625" style="495" customWidth="1"/>
    <col min="13334" max="13335" width="9.140625" style="495"/>
    <col min="13336" max="13336" width="10.85546875" style="495" customWidth="1"/>
    <col min="13337" max="13337" width="9.140625" style="495"/>
    <col min="13338" max="13338" width="23.140625" style="495" customWidth="1"/>
    <col min="13339" max="13339" width="16.7109375" style="495" bestFit="1" customWidth="1"/>
    <col min="13340" max="13340" width="17.28515625" style="495" bestFit="1" customWidth="1"/>
    <col min="13341" max="13341" width="9.140625" style="495"/>
    <col min="13342" max="13342" width="12.7109375" style="495" customWidth="1"/>
    <col min="13343" max="13343" width="12" style="495" customWidth="1"/>
    <col min="13344" max="13344" width="10.7109375" style="495" customWidth="1"/>
    <col min="13345" max="13567" width="9.140625" style="495"/>
    <col min="13568" max="13568" width="10.28515625" style="495" bestFit="1" customWidth="1"/>
    <col min="13569" max="13579" width="0" style="495" hidden="1" customWidth="1"/>
    <col min="13580" max="13580" width="8.85546875" style="495" customWidth="1"/>
    <col min="13581" max="13581" width="21" style="495" customWidth="1"/>
    <col min="13582" max="13582" width="17.7109375" style="495" customWidth="1"/>
    <col min="13583" max="13583" width="8.85546875" style="495" customWidth="1"/>
    <col min="13584" max="13584" width="0.28515625" style="495" customWidth="1"/>
    <col min="13585" max="13585" width="9.140625" style="495"/>
    <col min="13586" max="13586" width="11.85546875" style="495" customWidth="1"/>
    <col min="13587" max="13587" width="18.7109375" style="495" customWidth="1"/>
    <col min="13588" max="13588" width="13.85546875" style="495" customWidth="1"/>
    <col min="13589" max="13589" width="12.140625" style="495" customWidth="1"/>
    <col min="13590" max="13591" width="9.140625" style="495"/>
    <col min="13592" max="13592" width="10.85546875" style="495" customWidth="1"/>
    <col min="13593" max="13593" width="9.140625" style="495"/>
    <col min="13594" max="13594" width="23.140625" style="495" customWidth="1"/>
    <col min="13595" max="13595" width="16.7109375" style="495" bestFit="1" customWidth="1"/>
    <col min="13596" max="13596" width="17.28515625" style="495" bestFit="1" customWidth="1"/>
    <col min="13597" max="13597" width="9.140625" style="495"/>
    <col min="13598" max="13598" width="12.7109375" style="495" customWidth="1"/>
    <col min="13599" max="13599" width="12" style="495" customWidth="1"/>
    <col min="13600" max="13600" width="10.7109375" style="495" customWidth="1"/>
    <col min="13601" max="13823" width="9.140625" style="495"/>
    <col min="13824" max="13824" width="10.28515625" style="495" bestFit="1" customWidth="1"/>
    <col min="13825" max="13835" width="0" style="495" hidden="1" customWidth="1"/>
    <col min="13836" max="13836" width="8.85546875" style="495" customWidth="1"/>
    <col min="13837" max="13837" width="21" style="495" customWidth="1"/>
    <col min="13838" max="13838" width="17.7109375" style="495" customWidth="1"/>
    <col min="13839" max="13839" width="8.85546875" style="495" customWidth="1"/>
    <col min="13840" max="13840" width="0.28515625" style="495" customWidth="1"/>
    <col min="13841" max="13841" width="9.140625" style="495"/>
    <col min="13842" max="13842" width="11.85546875" style="495" customWidth="1"/>
    <col min="13843" max="13843" width="18.7109375" style="495" customWidth="1"/>
    <col min="13844" max="13844" width="13.85546875" style="495" customWidth="1"/>
    <col min="13845" max="13845" width="12.140625" style="495" customWidth="1"/>
    <col min="13846" max="13847" width="9.140625" style="495"/>
    <col min="13848" max="13848" width="10.85546875" style="495" customWidth="1"/>
    <col min="13849" max="13849" width="9.140625" style="495"/>
    <col min="13850" max="13850" width="23.140625" style="495" customWidth="1"/>
    <col min="13851" max="13851" width="16.7109375" style="495" bestFit="1" customWidth="1"/>
    <col min="13852" max="13852" width="17.28515625" style="495" bestFit="1" customWidth="1"/>
    <col min="13853" max="13853" width="9.140625" style="495"/>
    <col min="13854" max="13854" width="12.7109375" style="495" customWidth="1"/>
    <col min="13855" max="13855" width="12" style="495" customWidth="1"/>
    <col min="13856" max="13856" width="10.7109375" style="495" customWidth="1"/>
    <col min="13857" max="14079" width="9.140625" style="495"/>
    <col min="14080" max="14080" width="10.28515625" style="495" bestFit="1" customWidth="1"/>
    <col min="14081" max="14091" width="0" style="495" hidden="1" customWidth="1"/>
    <col min="14092" max="14092" width="8.85546875" style="495" customWidth="1"/>
    <col min="14093" max="14093" width="21" style="495" customWidth="1"/>
    <col min="14094" max="14094" width="17.7109375" style="495" customWidth="1"/>
    <col min="14095" max="14095" width="8.85546875" style="495" customWidth="1"/>
    <col min="14096" max="14096" width="0.28515625" style="495" customWidth="1"/>
    <col min="14097" max="14097" width="9.140625" style="495"/>
    <col min="14098" max="14098" width="11.85546875" style="495" customWidth="1"/>
    <col min="14099" max="14099" width="18.7109375" style="495" customWidth="1"/>
    <col min="14100" max="14100" width="13.85546875" style="495" customWidth="1"/>
    <col min="14101" max="14101" width="12.140625" style="495" customWidth="1"/>
    <col min="14102" max="14103" width="9.140625" style="495"/>
    <col min="14104" max="14104" width="10.85546875" style="495" customWidth="1"/>
    <col min="14105" max="14105" width="9.140625" style="495"/>
    <col min="14106" max="14106" width="23.140625" style="495" customWidth="1"/>
    <col min="14107" max="14107" width="16.7109375" style="495" bestFit="1" customWidth="1"/>
    <col min="14108" max="14108" width="17.28515625" style="495" bestFit="1" customWidth="1"/>
    <col min="14109" max="14109" width="9.140625" style="495"/>
    <col min="14110" max="14110" width="12.7109375" style="495" customWidth="1"/>
    <col min="14111" max="14111" width="12" style="495" customWidth="1"/>
    <col min="14112" max="14112" width="10.7109375" style="495" customWidth="1"/>
    <col min="14113" max="14335" width="9.140625" style="495"/>
    <col min="14336" max="14336" width="10.28515625" style="495" bestFit="1" customWidth="1"/>
    <col min="14337" max="14347" width="0" style="495" hidden="1" customWidth="1"/>
    <col min="14348" max="14348" width="8.85546875" style="495" customWidth="1"/>
    <col min="14349" max="14349" width="21" style="495" customWidth="1"/>
    <col min="14350" max="14350" width="17.7109375" style="495" customWidth="1"/>
    <col min="14351" max="14351" width="8.85546875" style="495" customWidth="1"/>
    <col min="14352" max="14352" width="0.28515625" style="495" customWidth="1"/>
    <col min="14353" max="14353" width="9.140625" style="495"/>
    <col min="14354" max="14354" width="11.85546875" style="495" customWidth="1"/>
    <col min="14355" max="14355" width="18.7109375" style="495" customWidth="1"/>
    <col min="14356" max="14356" width="13.85546875" style="495" customWidth="1"/>
    <col min="14357" max="14357" width="12.140625" style="495" customWidth="1"/>
    <col min="14358" max="14359" width="9.140625" style="495"/>
    <col min="14360" max="14360" width="10.85546875" style="495" customWidth="1"/>
    <col min="14361" max="14361" width="9.140625" style="495"/>
    <col min="14362" max="14362" width="23.140625" style="495" customWidth="1"/>
    <col min="14363" max="14363" width="16.7109375" style="495" bestFit="1" customWidth="1"/>
    <col min="14364" max="14364" width="17.28515625" style="495" bestFit="1" customWidth="1"/>
    <col min="14365" max="14365" width="9.140625" style="495"/>
    <col min="14366" max="14366" width="12.7109375" style="495" customWidth="1"/>
    <col min="14367" max="14367" width="12" style="495" customWidth="1"/>
    <col min="14368" max="14368" width="10.7109375" style="495" customWidth="1"/>
    <col min="14369" max="14591" width="9.140625" style="495"/>
    <col min="14592" max="14592" width="10.28515625" style="495" bestFit="1" customWidth="1"/>
    <col min="14593" max="14603" width="0" style="495" hidden="1" customWidth="1"/>
    <col min="14604" max="14604" width="8.85546875" style="495" customWidth="1"/>
    <col min="14605" max="14605" width="21" style="495" customWidth="1"/>
    <col min="14606" max="14606" width="17.7109375" style="495" customWidth="1"/>
    <col min="14607" max="14607" width="8.85546875" style="495" customWidth="1"/>
    <col min="14608" max="14608" width="0.28515625" style="495" customWidth="1"/>
    <col min="14609" max="14609" width="9.140625" style="495"/>
    <col min="14610" max="14610" width="11.85546875" style="495" customWidth="1"/>
    <col min="14611" max="14611" width="18.7109375" style="495" customWidth="1"/>
    <col min="14612" max="14612" width="13.85546875" style="495" customWidth="1"/>
    <col min="14613" max="14613" width="12.140625" style="495" customWidth="1"/>
    <col min="14614" max="14615" width="9.140625" style="495"/>
    <col min="14616" max="14616" width="10.85546875" style="495" customWidth="1"/>
    <col min="14617" max="14617" width="9.140625" style="495"/>
    <col min="14618" max="14618" width="23.140625" style="495" customWidth="1"/>
    <col min="14619" max="14619" width="16.7109375" style="495" bestFit="1" customWidth="1"/>
    <col min="14620" max="14620" width="17.28515625" style="495" bestFit="1" customWidth="1"/>
    <col min="14621" max="14621" width="9.140625" style="495"/>
    <col min="14622" max="14622" width="12.7109375" style="495" customWidth="1"/>
    <col min="14623" max="14623" width="12" style="495" customWidth="1"/>
    <col min="14624" max="14624" width="10.7109375" style="495" customWidth="1"/>
    <col min="14625" max="14847" width="9.140625" style="495"/>
    <col min="14848" max="14848" width="10.28515625" style="495" bestFit="1" customWidth="1"/>
    <col min="14849" max="14859" width="0" style="495" hidden="1" customWidth="1"/>
    <col min="14860" max="14860" width="8.85546875" style="495" customWidth="1"/>
    <col min="14861" max="14861" width="21" style="495" customWidth="1"/>
    <col min="14862" max="14862" width="17.7109375" style="495" customWidth="1"/>
    <col min="14863" max="14863" width="8.85546875" style="495" customWidth="1"/>
    <col min="14864" max="14864" width="0.28515625" style="495" customWidth="1"/>
    <col min="14865" max="14865" width="9.140625" style="495"/>
    <col min="14866" max="14866" width="11.85546875" style="495" customWidth="1"/>
    <col min="14867" max="14867" width="18.7109375" style="495" customWidth="1"/>
    <col min="14868" max="14868" width="13.85546875" style="495" customWidth="1"/>
    <col min="14869" max="14869" width="12.140625" style="495" customWidth="1"/>
    <col min="14870" max="14871" width="9.140625" style="495"/>
    <col min="14872" max="14872" width="10.85546875" style="495" customWidth="1"/>
    <col min="14873" max="14873" width="9.140625" style="495"/>
    <col min="14874" max="14874" width="23.140625" style="495" customWidth="1"/>
    <col min="14875" max="14875" width="16.7109375" style="495" bestFit="1" customWidth="1"/>
    <col min="14876" max="14876" width="17.28515625" style="495" bestFit="1" customWidth="1"/>
    <col min="14877" max="14877" width="9.140625" style="495"/>
    <col min="14878" max="14878" width="12.7109375" style="495" customWidth="1"/>
    <col min="14879" max="14879" width="12" style="495" customWidth="1"/>
    <col min="14880" max="14880" width="10.7109375" style="495" customWidth="1"/>
    <col min="14881" max="15103" width="9.140625" style="495"/>
    <col min="15104" max="15104" width="10.28515625" style="495" bestFit="1" customWidth="1"/>
    <col min="15105" max="15115" width="0" style="495" hidden="1" customWidth="1"/>
    <col min="15116" max="15116" width="8.85546875" style="495" customWidth="1"/>
    <col min="15117" max="15117" width="21" style="495" customWidth="1"/>
    <col min="15118" max="15118" width="17.7109375" style="495" customWidth="1"/>
    <col min="15119" max="15119" width="8.85546875" style="495" customWidth="1"/>
    <col min="15120" max="15120" width="0.28515625" style="495" customWidth="1"/>
    <col min="15121" max="15121" width="9.140625" style="495"/>
    <col min="15122" max="15122" width="11.85546875" style="495" customWidth="1"/>
    <col min="15123" max="15123" width="18.7109375" style="495" customWidth="1"/>
    <col min="15124" max="15124" width="13.85546875" style="495" customWidth="1"/>
    <col min="15125" max="15125" width="12.140625" style="495" customWidth="1"/>
    <col min="15126" max="15127" width="9.140625" style="495"/>
    <col min="15128" max="15128" width="10.85546875" style="495" customWidth="1"/>
    <col min="15129" max="15129" width="9.140625" style="495"/>
    <col min="15130" max="15130" width="23.140625" style="495" customWidth="1"/>
    <col min="15131" max="15131" width="16.7109375" style="495" bestFit="1" customWidth="1"/>
    <col min="15132" max="15132" width="17.28515625" style="495" bestFit="1" customWidth="1"/>
    <col min="15133" max="15133" width="9.140625" style="495"/>
    <col min="15134" max="15134" width="12.7109375" style="495" customWidth="1"/>
    <col min="15135" max="15135" width="12" style="495" customWidth="1"/>
    <col min="15136" max="15136" width="10.7109375" style="495" customWidth="1"/>
    <col min="15137" max="15359" width="9.140625" style="495"/>
    <col min="15360" max="15360" width="10.28515625" style="495" bestFit="1" customWidth="1"/>
    <col min="15361" max="15371" width="0" style="495" hidden="1" customWidth="1"/>
    <col min="15372" max="15372" width="8.85546875" style="495" customWidth="1"/>
    <col min="15373" max="15373" width="21" style="495" customWidth="1"/>
    <col min="15374" max="15374" width="17.7109375" style="495" customWidth="1"/>
    <col min="15375" max="15375" width="8.85546875" style="495" customWidth="1"/>
    <col min="15376" max="15376" width="0.28515625" style="495" customWidth="1"/>
    <col min="15377" max="15377" width="9.140625" style="495"/>
    <col min="15378" max="15378" width="11.85546875" style="495" customWidth="1"/>
    <col min="15379" max="15379" width="18.7109375" style="495" customWidth="1"/>
    <col min="15380" max="15380" width="13.85546875" style="495" customWidth="1"/>
    <col min="15381" max="15381" width="12.140625" style="495" customWidth="1"/>
    <col min="15382" max="15383" width="9.140625" style="495"/>
    <col min="15384" max="15384" width="10.85546875" style="495" customWidth="1"/>
    <col min="15385" max="15385" width="9.140625" style="495"/>
    <col min="15386" max="15386" width="23.140625" style="495" customWidth="1"/>
    <col min="15387" max="15387" width="16.7109375" style="495" bestFit="1" customWidth="1"/>
    <col min="15388" max="15388" width="17.28515625" style="495" bestFit="1" customWidth="1"/>
    <col min="15389" max="15389" width="9.140625" style="495"/>
    <col min="15390" max="15390" width="12.7109375" style="495" customWidth="1"/>
    <col min="15391" max="15391" width="12" style="495" customWidth="1"/>
    <col min="15392" max="15392" width="10.7109375" style="495" customWidth="1"/>
    <col min="15393" max="15615" width="9.140625" style="495"/>
    <col min="15616" max="15616" width="10.28515625" style="495" bestFit="1" customWidth="1"/>
    <col min="15617" max="15627" width="0" style="495" hidden="1" customWidth="1"/>
    <col min="15628" max="15628" width="8.85546875" style="495" customWidth="1"/>
    <col min="15629" max="15629" width="21" style="495" customWidth="1"/>
    <col min="15630" max="15630" width="17.7109375" style="495" customWidth="1"/>
    <col min="15631" max="15631" width="8.85546875" style="495" customWidth="1"/>
    <col min="15632" max="15632" width="0.28515625" style="495" customWidth="1"/>
    <col min="15633" max="15633" width="9.140625" style="495"/>
    <col min="15634" max="15634" width="11.85546875" style="495" customWidth="1"/>
    <col min="15635" max="15635" width="18.7109375" style="495" customWidth="1"/>
    <col min="15636" max="15636" width="13.85546875" style="495" customWidth="1"/>
    <col min="15637" max="15637" width="12.140625" style="495" customWidth="1"/>
    <col min="15638" max="15639" width="9.140625" style="495"/>
    <col min="15640" max="15640" width="10.85546875" style="495" customWidth="1"/>
    <col min="15641" max="15641" width="9.140625" style="495"/>
    <col min="15642" max="15642" width="23.140625" style="495" customWidth="1"/>
    <col min="15643" max="15643" width="16.7109375" style="495" bestFit="1" customWidth="1"/>
    <col min="15644" max="15644" width="17.28515625" style="495" bestFit="1" customWidth="1"/>
    <col min="15645" max="15645" width="9.140625" style="495"/>
    <col min="15646" max="15646" width="12.7109375" style="495" customWidth="1"/>
    <col min="15647" max="15647" width="12" style="495" customWidth="1"/>
    <col min="15648" max="15648" width="10.7109375" style="495" customWidth="1"/>
    <col min="15649" max="15871" width="9.140625" style="495"/>
    <col min="15872" max="15872" width="10.28515625" style="495" bestFit="1" customWidth="1"/>
    <col min="15873" max="15883" width="0" style="495" hidden="1" customWidth="1"/>
    <col min="15884" max="15884" width="8.85546875" style="495" customWidth="1"/>
    <col min="15885" max="15885" width="21" style="495" customWidth="1"/>
    <col min="15886" max="15886" width="17.7109375" style="495" customWidth="1"/>
    <col min="15887" max="15887" width="8.85546875" style="495" customWidth="1"/>
    <col min="15888" max="15888" width="0.28515625" style="495" customWidth="1"/>
    <col min="15889" max="15889" width="9.140625" style="495"/>
    <col min="15890" max="15890" width="11.85546875" style="495" customWidth="1"/>
    <col min="15891" max="15891" width="18.7109375" style="495" customWidth="1"/>
    <col min="15892" max="15892" width="13.85546875" style="495" customWidth="1"/>
    <col min="15893" max="15893" width="12.140625" style="495" customWidth="1"/>
    <col min="15894" max="15895" width="9.140625" style="495"/>
    <col min="15896" max="15896" width="10.85546875" style="495" customWidth="1"/>
    <col min="15897" max="15897" width="9.140625" style="495"/>
    <col min="15898" max="15898" width="23.140625" style="495" customWidth="1"/>
    <col min="15899" max="15899" width="16.7109375" style="495" bestFit="1" customWidth="1"/>
    <col min="15900" max="15900" width="17.28515625" style="495" bestFit="1" customWidth="1"/>
    <col min="15901" max="15901" width="9.140625" style="495"/>
    <col min="15902" max="15902" width="12.7109375" style="495" customWidth="1"/>
    <col min="15903" max="15903" width="12" style="495" customWidth="1"/>
    <col min="15904" max="15904" width="10.7109375" style="495" customWidth="1"/>
    <col min="15905" max="16127" width="9.140625" style="495"/>
    <col min="16128" max="16128" width="10.28515625" style="495" bestFit="1" customWidth="1"/>
    <col min="16129" max="16139" width="0" style="495" hidden="1" customWidth="1"/>
    <col min="16140" max="16140" width="8.85546875" style="495" customWidth="1"/>
    <col min="16141" max="16141" width="21" style="495" customWidth="1"/>
    <col min="16142" max="16142" width="17.7109375" style="495" customWidth="1"/>
    <col min="16143" max="16143" width="8.85546875" style="495" customWidth="1"/>
    <col min="16144" max="16144" width="0.28515625" style="495" customWidth="1"/>
    <col min="16145" max="16145" width="9.140625" style="495"/>
    <col min="16146" max="16146" width="11.85546875" style="495" customWidth="1"/>
    <col min="16147" max="16147" width="18.7109375" style="495" customWidth="1"/>
    <col min="16148" max="16148" width="13.85546875" style="495" customWidth="1"/>
    <col min="16149" max="16149" width="12.140625" style="495" customWidth="1"/>
    <col min="16150" max="16151" width="9.140625" style="495"/>
    <col min="16152" max="16152" width="10.85546875" style="495" customWidth="1"/>
    <col min="16153" max="16153" width="9.140625" style="495"/>
    <col min="16154" max="16154" width="23.140625" style="495" customWidth="1"/>
    <col min="16155" max="16155" width="16.7109375" style="495" bestFit="1" customWidth="1"/>
    <col min="16156" max="16156" width="17.28515625" style="495" bestFit="1" customWidth="1"/>
    <col min="16157" max="16157" width="9.140625" style="495"/>
    <col min="16158" max="16158" width="12.7109375" style="495" customWidth="1"/>
    <col min="16159" max="16159" width="12" style="495" customWidth="1"/>
    <col min="16160" max="16160" width="10.7109375" style="495" customWidth="1"/>
    <col min="16161" max="16383" width="9.140625" style="495"/>
    <col min="16384" max="16384" width="9.140625" style="495" customWidth="1"/>
  </cols>
  <sheetData>
    <row r="1" spans="1:38" ht="16.5" thickBot="1">
      <c r="A1" s="493" t="s">
        <v>297</v>
      </c>
      <c r="B1" s="494">
        <v>2015</v>
      </c>
      <c r="C1" s="495" t="s">
        <v>301</v>
      </c>
      <c r="K1" s="495">
        <f>25/1000</f>
        <v>2.5000000000000001E-2</v>
      </c>
    </row>
    <row r="2" spans="1:38" ht="138" customHeight="1" thickBot="1">
      <c r="A2" s="496"/>
      <c r="B2" s="497" t="s">
        <v>434</v>
      </c>
      <c r="C2" s="497" t="s">
        <v>434</v>
      </c>
      <c r="D2" s="498" t="s">
        <v>435</v>
      </c>
      <c r="E2" s="499" t="s">
        <v>351</v>
      </c>
      <c r="F2" s="499" t="s">
        <v>352</v>
      </c>
      <c r="G2" s="498" t="s">
        <v>353</v>
      </c>
      <c r="H2" s="500" t="s">
        <v>354</v>
      </c>
      <c r="I2" s="501" t="s">
        <v>355</v>
      </c>
      <c r="J2" s="501" t="s">
        <v>356</v>
      </c>
      <c r="K2" s="501" t="s">
        <v>357</v>
      </c>
      <c r="L2" s="501" t="s">
        <v>358</v>
      </c>
      <c r="M2" s="497" t="s">
        <v>437</v>
      </c>
      <c r="N2" s="501" t="s">
        <v>432</v>
      </c>
      <c r="O2" s="502" t="s">
        <v>350</v>
      </c>
      <c r="P2" s="502"/>
      <c r="Q2" s="499" t="s">
        <v>351</v>
      </c>
      <c r="R2" s="499" t="s">
        <v>352</v>
      </c>
      <c r="S2" s="498" t="s">
        <v>353</v>
      </c>
      <c r="T2" s="501" t="s">
        <v>354</v>
      </c>
      <c r="U2" s="501" t="s">
        <v>355</v>
      </c>
      <c r="V2" s="501" t="s">
        <v>356</v>
      </c>
      <c r="W2" s="501" t="s">
        <v>357</v>
      </c>
      <c r="X2" s="501" t="s">
        <v>358</v>
      </c>
      <c r="Z2" s="503" t="s">
        <v>433</v>
      </c>
      <c r="AB2" s="504"/>
      <c r="AC2" s="499" t="s">
        <v>351</v>
      </c>
      <c r="AD2" s="499" t="s">
        <v>352</v>
      </c>
      <c r="AE2" s="498" t="s">
        <v>353</v>
      </c>
      <c r="AF2" s="501" t="s">
        <v>354</v>
      </c>
      <c r="AG2" s="501" t="s">
        <v>355</v>
      </c>
      <c r="AH2" s="501" t="s">
        <v>359</v>
      </c>
      <c r="AI2" s="501" t="s">
        <v>439</v>
      </c>
      <c r="AJ2" s="501" t="s">
        <v>358</v>
      </c>
    </row>
    <row r="3" spans="1:38" ht="16.5" thickBot="1">
      <c r="A3" s="496"/>
      <c r="B3" s="505"/>
      <c r="Z3" s="493" t="s">
        <v>297</v>
      </c>
      <c r="AA3" s="495" t="s">
        <v>305</v>
      </c>
      <c r="AB3" s="506" t="s">
        <v>360</v>
      </c>
    </row>
    <row r="4" spans="1:38" ht="16.5" thickBot="1">
      <c r="A4" s="507" t="s">
        <v>306</v>
      </c>
      <c r="B4" s="508">
        <v>17673.684166666666</v>
      </c>
      <c r="C4" s="508">
        <v>18384.317500000001</v>
      </c>
      <c r="D4" s="508">
        <f t="shared" ref="D4:D79" si="0">C4-B4</f>
        <v>710.63333333333503</v>
      </c>
      <c r="E4" s="509"/>
      <c r="F4" s="510"/>
      <c r="G4" s="511">
        <f t="shared" ref="G4:G79" si="1">E4*D4</f>
        <v>0</v>
      </c>
      <c r="H4" s="489">
        <f t="shared" ref="H4:H79" si="2">G4/100*23.8</f>
        <v>0</v>
      </c>
      <c r="I4" s="489">
        <f t="shared" ref="I4:I79" si="3">G4/100*2.88</f>
        <v>0</v>
      </c>
      <c r="J4" s="490"/>
      <c r="K4" s="489">
        <f t="shared" ref="K4:K79" si="4">((G4/1000)*J4)+((G4/1000)*J4)*1%</f>
        <v>0</v>
      </c>
      <c r="L4" s="489">
        <f>(G4)/100*8.5</f>
        <v>0</v>
      </c>
      <c r="N4" s="511">
        <f>9.95*13</f>
        <v>129.35</v>
      </c>
      <c r="O4" s="511">
        <f>N4</f>
        <v>129.35</v>
      </c>
      <c r="P4" s="511">
        <f t="shared" ref="P4:P79" si="5">O4/13</f>
        <v>9.9499999999999993</v>
      </c>
      <c r="Q4" s="509"/>
      <c r="R4" s="510"/>
      <c r="S4" s="511">
        <f t="shared" ref="S4:S79" si="6">Q4*O4</f>
        <v>0</v>
      </c>
      <c r="T4" s="489">
        <f t="shared" ref="T4:T79" si="7">S4/100*23.8</f>
        <v>0</v>
      </c>
      <c r="U4" s="489">
        <f t="shared" ref="U4:U79" si="8">S4/100*2.88</f>
        <v>0</v>
      </c>
      <c r="V4" s="490"/>
      <c r="W4" s="489">
        <f>((S4/1000)*V4)+((S4/1000)*V4)*1%</f>
        <v>0</v>
      </c>
      <c r="X4" s="489">
        <f>(S4)/100*8.5</f>
        <v>0</v>
      </c>
      <c r="Z4" s="495" t="s">
        <v>307</v>
      </c>
      <c r="AA4" s="495">
        <v>29</v>
      </c>
      <c r="AB4" s="495">
        <f t="shared" ref="AB4:AB79" si="9">AA4*12</f>
        <v>348</v>
      </c>
      <c r="AC4" s="509"/>
      <c r="AD4" s="510"/>
      <c r="AE4" s="511">
        <f t="shared" ref="AE4:AE79" si="10">AC4*AB4</f>
        <v>0</v>
      </c>
      <c r="AF4" s="489">
        <f t="shared" ref="AF4:AF79" si="11">AE4/100*23.8</f>
        <v>0</v>
      </c>
      <c r="AG4" s="489"/>
      <c r="AH4" s="490"/>
      <c r="AI4" s="489">
        <f>((AE4/1000)*AH4)+((AE4/1000)*AH4)*1%</f>
        <v>0</v>
      </c>
      <c r="AJ4" s="489">
        <f>(AE4)/100*8.5</f>
        <v>0</v>
      </c>
    </row>
    <row r="5" spans="1:38" ht="16.5" thickBot="1">
      <c r="A5" s="507" t="s">
        <v>308</v>
      </c>
      <c r="B5" s="508">
        <v>17911.779166666667</v>
      </c>
      <c r="C5" s="508">
        <v>18731.169999999998</v>
      </c>
      <c r="D5" s="508">
        <f t="shared" si="0"/>
        <v>819.3908333333311</v>
      </c>
      <c r="E5" s="509"/>
      <c r="F5" s="510"/>
      <c r="G5" s="511">
        <f t="shared" si="1"/>
        <v>0</v>
      </c>
      <c r="H5" s="489">
        <f t="shared" si="2"/>
        <v>0</v>
      </c>
      <c r="I5" s="489">
        <f t="shared" si="3"/>
        <v>0</v>
      </c>
      <c r="J5" s="490"/>
      <c r="K5" s="489">
        <f t="shared" si="4"/>
        <v>0</v>
      </c>
      <c r="L5" s="489">
        <f>(G5)/100*8.5</f>
        <v>0</v>
      </c>
      <c r="N5" s="511">
        <f>10.09*13</f>
        <v>131.16999999999999</v>
      </c>
      <c r="O5" s="511">
        <f t="shared" ref="O5:O70" si="12">N5</f>
        <v>131.16999999999999</v>
      </c>
      <c r="P5" s="511">
        <f t="shared" si="5"/>
        <v>10.09</v>
      </c>
      <c r="Q5" s="509"/>
      <c r="R5" s="510"/>
      <c r="S5" s="511">
        <f t="shared" si="6"/>
        <v>0</v>
      </c>
      <c r="T5" s="489">
        <f t="shared" si="7"/>
        <v>0</v>
      </c>
      <c r="U5" s="489">
        <f t="shared" si="8"/>
        <v>0</v>
      </c>
      <c r="V5" s="490"/>
      <c r="W5" s="489">
        <f t="shared" ref="W5:W105" si="13">((S5/1000)*V5)+((S5/1000)*V5)*1%</f>
        <v>0</v>
      </c>
      <c r="X5" s="489">
        <f>(S5)/100*8.5</f>
        <v>0</v>
      </c>
      <c r="Z5" s="495" t="s">
        <v>309</v>
      </c>
      <c r="AA5" s="495">
        <v>29</v>
      </c>
      <c r="AB5" s="495">
        <f t="shared" si="9"/>
        <v>348</v>
      </c>
      <c r="AC5" s="509"/>
      <c r="AD5" s="510"/>
      <c r="AE5" s="511">
        <f t="shared" si="10"/>
        <v>0</v>
      </c>
      <c r="AF5" s="489">
        <f t="shared" si="11"/>
        <v>0</v>
      </c>
      <c r="AG5" s="489"/>
      <c r="AH5" s="490"/>
      <c r="AI5" s="489">
        <f t="shared" ref="AI5:AI105" si="14">((AE5/1000)*AH5)+((AE5/1000)*AH5)*1%</f>
        <v>0</v>
      </c>
      <c r="AJ5" s="489">
        <f>(AE5)/100*8.5</f>
        <v>0</v>
      </c>
    </row>
    <row r="6" spans="1:38" ht="16.5" thickBot="1">
      <c r="A6" s="507" t="s">
        <v>118</v>
      </c>
      <c r="B6" s="508">
        <v>18291.39</v>
      </c>
      <c r="C6" s="508">
        <v>19127.939999999999</v>
      </c>
      <c r="D6" s="508">
        <f t="shared" si="0"/>
        <v>836.54999999999927</v>
      </c>
      <c r="E6" s="509"/>
      <c r="F6" s="515" t="s">
        <v>361</v>
      </c>
      <c r="G6" s="511">
        <f t="shared" si="1"/>
        <v>0</v>
      </c>
      <c r="H6" s="489">
        <f t="shared" si="2"/>
        <v>0</v>
      </c>
      <c r="I6" s="489">
        <f t="shared" si="3"/>
        <v>0</v>
      </c>
      <c r="J6" s="490">
        <v>5</v>
      </c>
      <c r="K6" s="489">
        <f t="shared" si="4"/>
        <v>0</v>
      </c>
      <c r="L6" s="489">
        <f>(G6)/100*8.5</f>
        <v>0</v>
      </c>
      <c r="M6" s="526">
        <f>C6/13*12</f>
        <v>17656.559999999998</v>
      </c>
      <c r="N6" s="511">
        <f>10.3*13</f>
        <v>133.9</v>
      </c>
      <c r="O6" s="511">
        <f t="shared" si="12"/>
        <v>133.9</v>
      </c>
      <c r="P6" s="511">
        <f t="shared" si="5"/>
        <v>10.3</v>
      </c>
      <c r="Q6" s="509"/>
      <c r="R6" s="515" t="s">
        <v>361</v>
      </c>
      <c r="S6" s="832">
        <f t="shared" si="6"/>
        <v>0</v>
      </c>
      <c r="T6" s="489">
        <f t="shared" si="7"/>
        <v>0</v>
      </c>
      <c r="U6" s="489">
        <f t="shared" si="8"/>
        <v>0</v>
      </c>
      <c r="V6" s="490">
        <v>5</v>
      </c>
      <c r="W6" s="489">
        <f t="shared" si="13"/>
        <v>0</v>
      </c>
      <c r="X6" s="489">
        <f>(S6)/100*8.5</f>
        <v>0</v>
      </c>
      <c r="Z6" s="495" t="s">
        <v>118</v>
      </c>
      <c r="AA6" s="495">
        <v>28</v>
      </c>
      <c r="AB6" s="495">
        <f t="shared" si="9"/>
        <v>336</v>
      </c>
      <c r="AC6" s="509"/>
      <c r="AD6" s="515" t="s">
        <v>361</v>
      </c>
      <c r="AE6" s="832">
        <f t="shared" si="10"/>
        <v>0</v>
      </c>
      <c r="AF6" s="489">
        <f t="shared" si="11"/>
        <v>0</v>
      </c>
      <c r="AG6" s="489"/>
      <c r="AH6" s="490">
        <v>5</v>
      </c>
      <c r="AI6" s="489">
        <f t="shared" si="14"/>
        <v>0</v>
      </c>
      <c r="AJ6" s="489">
        <f>(AE6)/100*8.5</f>
        <v>0</v>
      </c>
      <c r="AL6" s="506" t="s">
        <v>474</v>
      </c>
    </row>
    <row r="7" spans="1:38" ht="16.5" hidden="1" thickBot="1">
      <c r="A7" s="507" t="s">
        <v>311</v>
      </c>
      <c r="B7" s="508">
        <v>18616.065000000002</v>
      </c>
      <c r="C7" s="508">
        <v>19468.09</v>
      </c>
      <c r="D7" s="508">
        <f t="shared" si="0"/>
        <v>852.02499999999782</v>
      </c>
      <c r="E7" s="509"/>
      <c r="F7" s="510"/>
      <c r="G7" s="511">
        <f t="shared" si="1"/>
        <v>0</v>
      </c>
      <c r="H7" s="489">
        <f t="shared" si="2"/>
        <v>0</v>
      </c>
      <c r="I7" s="489">
        <f t="shared" si="3"/>
        <v>0</v>
      </c>
      <c r="J7" s="490"/>
      <c r="K7" s="489">
        <f t="shared" si="4"/>
        <v>0</v>
      </c>
      <c r="L7" s="491">
        <f>(G7)/100*0</f>
        <v>0</v>
      </c>
      <c r="M7" s="526">
        <f t="shared" ref="M7:M82" si="15">C7/13*12</f>
        <v>17970.544615384613</v>
      </c>
      <c r="N7" s="511">
        <f>M7*0.7/100</f>
        <v>125.79381230769228</v>
      </c>
      <c r="O7" s="511">
        <f t="shared" si="12"/>
        <v>125.79381230769228</v>
      </c>
      <c r="P7" s="511">
        <f t="shared" si="5"/>
        <v>9.6764471005917141</v>
      </c>
      <c r="Q7" s="509"/>
      <c r="R7" s="512"/>
      <c r="S7" s="832">
        <f t="shared" si="6"/>
        <v>0</v>
      </c>
      <c r="T7" s="489">
        <f t="shared" si="7"/>
        <v>0</v>
      </c>
      <c r="U7" s="489">
        <f t="shared" si="8"/>
        <v>0</v>
      </c>
      <c r="V7" s="490"/>
      <c r="W7" s="489">
        <f t="shared" si="13"/>
        <v>0</v>
      </c>
      <c r="X7" s="491">
        <f>(S7)/100*0</f>
        <v>0</v>
      </c>
      <c r="Z7" s="495" t="s">
        <v>312</v>
      </c>
      <c r="AA7" s="495">
        <v>27</v>
      </c>
      <c r="AB7" s="495">
        <f t="shared" si="9"/>
        <v>324</v>
      </c>
      <c r="AC7" s="509"/>
      <c r="AD7" s="512"/>
      <c r="AE7" s="832">
        <f t="shared" si="10"/>
        <v>0</v>
      </c>
      <c r="AF7" s="489">
        <f t="shared" si="11"/>
        <v>0</v>
      </c>
      <c r="AG7" s="489"/>
      <c r="AH7" s="490"/>
      <c r="AI7" s="489">
        <f>((AE7/1000)*AH7)+((AE7/1000)*AH7)*1%</f>
        <v>0</v>
      </c>
      <c r="AJ7" s="491">
        <f>(AE7)/100*0</f>
        <v>0</v>
      </c>
    </row>
    <row r="8" spans="1:38" ht="16.5" hidden="1" thickBot="1">
      <c r="A8" s="507" t="s">
        <v>313</v>
      </c>
      <c r="B8" s="508">
        <v>19001.287500000002</v>
      </c>
      <c r="C8" s="508">
        <v>19870.47</v>
      </c>
      <c r="D8" s="508">
        <f t="shared" si="0"/>
        <v>869.18249999999898</v>
      </c>
      <c r="E8" s="509"/>
      <c r="F8" s="510"/>
      <c r="G8" s="511">
        <f t="shared" si="1"/>
        <v>0</v>
      </c>
      <c r="H8" s="489">
        <f t="shared" si="2"/>
        <v>0</v>
      </c>
      <c r="I8" s="489">
        <f t="shared" si="3"/>
        <v>0</v>
      </c>
      <c r="J8" s="490"/>
      <c r="K8" s="489">
        <f t="shared" si="4"/>
        <v>0</v>
      </c>
      <c r="L8" s="489">
        <f>(G8)/100*8.5</f>
        <v>0</v>
      </c>
      <c r="M8" s="526">
        <f t="shared" si="15"/>
        <v>18341.972307692311</v>
      </c>
      <c r="N8" s="511">
        <f>M8*0.7/100</f>
        <v>128.39380615384616</v>
      </c>
      <c r="O8" s="511">
        <f t="shared" si="12"/>
        <v>128.39380615384616</v>
      </c>
      <c r="P8" s="511">
        <f t="shared" si="5"/>
        <v>9.876446627218936</v>
      </c>
      <c r="Q8" s="509"/>
      <c r="R8" s="512"/>
      <c r="S8" s="832">
        <f t="shared" si="6"/>
        <v>0</v>
      </c>
      <c r="T8" s="489">
        <f t="shared" si="7"/>
        <v>0</v>
      </c>
      <c r="U8" s="489">
        <f t="shared" si="8"/>
        <v>0</v>
      </c>
      <c r="V8" s="490"/>
      <c r="W8" s="489">
        <f t="shared" si="13"/>
        <v>0</v>
      </c>
      <c r="X8" s="489">
        <f>(S8)/100*8.5</f>
        <v>0</v>
      </c>
      <c r="Z8" s="495" t="s">
        <v>314</v>
      </c>
      <c r="AA8" s="495">
        <v>26</v>
      </c>
      <c r="AB8" s="495">
        <f t="shared" si="9"/>
        <v>312</v>
      </c>
      <c r="AC8" s="509"/>
      <c r="AD8" s="512"/>
      <c r="AE8" s="832">
        <f t="shared" si="10"/>
        <v>0</v>
      </c>
      <c r="AF8" s="489">
        <f t="shared" si="11"/>
        <v>0</v>
      </c>
      <c r="AG8" s="489"/>
      <c r="AH8" s="490"/>
      <c r="AI8" s="489">
        <f t="shared" si="14"/>
        <v>0</v>
      </c>
      <c r="AJ8" s="489">
        <f>(AE8)/100*8.5</f>
        <v>0</v>
      </c>
    </row>
    <row r="9" spans="1:38" ht="16.5" thickBot="1">
      <c r="A9" s="507" t="s">
        <v>134</v>
      </c>
      <c r="B9" s="508">
        <v>18681.769166666665</v>
      </c>
      <c r="C9" s="508">
        <v>19536.91</v>
      </c>
      <c r="D9" s="508">
        <f t="shared" si="0"/>
        <v>855.14083333333474</v>
      </c>
      <c r="E9" s="509">
        <v>1</v>
      </c>
      <c r="F9" s="510" t="s">
        <v>362</v>
      </c>
      <c r="G9" s="511">
        <f t="shared" si="1"/>
        <v>855.14083333333474</v>
      </c>
      <c r="H9" s="489">
        <f t="shared" si="2"/>
        <v>203.52351833333367</v>
      </c>
      <c r="I9" s="489">
        <f t="shared" si="3"/>
        <v>24.62805600000004</v>
      </c>
      <c r="J9" s="490">
        <v>23</v>
      </c>
      <c r="K9" s="489">
        <f t="shared" si="4"/>
        <v>19.864921558333368</v>
      </c>
      <c r="L9" s="489">
        <f>(G9)/100*8.5</f>
        <v>72.686970833333447</v>
      </c>
      <c r="M9" s="526">
        <f t="shared" si="15"/>
        <v>18034.07076923077</v>
      </c>
      <c r="N9" s="511">
        <f>10.52*13</f>
        <v>136.76</v>
      </c>
      <c r="O9" s="511">
        <f t="shared" si="12"/>
        <v>136.76</v>
      </c>
      <c r="P9" s="511">
        <f t="shared" si="5"/>
        <v>10.52</v>
      </c>
      <c r="Q9" s="509">
        <v>1</v>
      </c>
      <c r="R9" s="512" t="s">
        <v>362</v>
      </c>
      <c r="S9" s="832">
        <f t="shared" si="6"/>
        <v>136.76</v>
      </c>
      <c r="T9" s="489">
        <f t="shared" si="7"/>
        <v>32.548879999999997</v>
      </c>
      <c r="U9" s="489">
        <f t="shared" si="8"/>
        <v>3.9386879999999995</v>
      </c>
      <c r="V9" s="490">
        <v>23</v>
      </c>
      <c r="W9" s="489">
        <f t="shared" si="13"/>
        <v>3.1769348000000002</v>
      </c>
      <c r="X9" s="489">
        <f>(S9)/100*8.5</f>
        <v>11.624599999999999</v>
      </c>
      <c r="Z9" s="495" t="s">
        <v>315</v>
      </c>
      <c r="AA9" s="495">
        <v>27</v>
      </c>
      <c r="AB9" s="495">
        <f t="shared" si="9"/>
        <v>324</v>
      </c>
      <c r="AC9" s="509">
        <v>1</v>
      </c>
      <c r="AD9" s="512" t="s">
        <v>362</v>
      </c>
      <c r="AE9" s="832">
        <f t="shared" si="10"/>
        <v>324</v>
      </c>
      <c r="AF9" s="489">
        <f t="shared" si="11"/>
        <v>77.112000000000009</v>
      </c>
      <c r="AG9" s="489"/>
      <c r="AH9" s="490">
        <v>23</v>
      </c>
      <c r="AI9" s="489">
        <f t="shared" si="14"/>
        <v>7.5265199999999997</v>
      </c>
      <c r="AJ9" s="489">
        <f>(AE9)/100*8.5</f>
        <v>27.540000000000003</v>
      </c>
    </row>
    <row r="10" spans="1:38" ht="16.5" thickBot="1">
      <c r="A10" s="507" t="s">
        <v>134</v>
      </c>
      <c r="B10" s="508">
        <v>18681.769166666665</v>
      </c>
      <c r="C10" s="508">
        <v>19536.91</v>
      </c>
      <c r="D10" s="508">
        <f t="shared" si="0"/>
        <v>855.14083333333474</v>
      </c>
      <c r="E10" s="509">
        <v>1</v>
      </c>
      <c r="F10" s="510" t="s">
        <v>363</v>
      </c>
      <c r="G10" s="511">
        <f t="shared" si="1"/>
        <v>855.14083333333474</v>
      </c>
      <c r="H10" s="489">
        <f t="shared" si="2"/>
        <v>203.52351833333367</v>
      </c>
      <c r="I10" s="489">
        <f t="shared" si="3"/>
        <v>24.62805600000004</v>
      </c>
      <c r="J10" s="490">
        <v>23</v>
      </c>
      <c r="K10" s="489">
        <f t="shared" si="4"/>
        <v>19.864921558333368</v>
      </c>
      <c r="L10" s="489">
        <f>(G10)/100*8.5</f>
        <v>72.686970833333447</v>
      </c>
      <c r="M10" s="526">
        <f t="shared" si="15"/>
        <v>18034.07076923077</v>
      </c>
      <c r="N10" s="511">
        <f>10.52*13</f>
        <v>136.76</v>
      </c>
      <c r="O10" s="511">
        <f t="shared" si="12"/>
        <v>136.76</v>
      </c>
      <c r="P10" s="511">
        <f t="shared" si="5"/>
        <v>10.52</v>
      </c>
      <c r="Q10" s="509">
        <v>1</v>
      </c>
      <c r="R10" s="512" t="s">
        <v>363</v>
      </c>
      <c r="S10" s="832">
        <f t="shared" si="6"/>
        <v>136.76</v>
      </c>
      <c r="T10" s="489">
        <f t="shared" si="7"/>
        <v>32.548879999999997</v>
      </c>
      <c r="U10" s="489">
        <f t="shared" si="8"/>
        <v>3.9386879999999995</v>
      </c>
      <c r="V10" s="490">
        <v>23</v>
      </c>
      <c r="W10" s="489">
        <f>((S10/1000)*V10)+((S10/1000)*V10)*1%</f>
        <v>3.1769348000000002</v>
      </c>
      <c r="X10" s="489">
        <f>(S10)/100*8.5</f>
        <v>11.624599999999999</v>
      </c>
      <c r="Z10" s="495" t="s">
        <v>315</v>
      </c>
      <c r="AA10" s="495">
        <v>27</v>
      </c>
      <c r="AB10" s="495">
        <f t="shared" si="9"/>
        <v>324</v>
      </c>
      <c r="AC10" s="509">
        <v>1</v>
      </c>
      <c r="AD10" s="512" t="s">
        <v>363</v>
      </c>
      <c r="AE10" s="832">
        <f t="shared" si="10"/>
        <v>324</v>
      </c>
      <c r="AF10" s="489">
        <f t="shared" si="11"/>
        <v>77.112000000000009</v>
      </c>
      <c r="AG10" s="489"/>
      <c r="AH10" s="490">
        <v>23</v>
      </c>
      <c r="AI10" s="489">
        <f>((AE10/1000)*AH10)+((AE10/1000)*AH10)*1%</f>
        <v>7.5265199999999997</v>
      </c>
      <c r="AJ10" s="489">
        <f>(AE10)/100*8.5</f>
        <v>27.540000000000003</v>
      </c>
    </row>
    <row r="11" spans="1:38" ht="16.5" thickBot="1">
      <c r="A11" s="507" t="s">
        <v>316</v>
      </c>
      <c r="B11" s="508">
        <v>18992.577499999999</v>
      </c>
      <c r="C11" s="508">
        <v>19861.759999999998</v>
      </c>
      <c r="D11" s="508">
        <f t="shared" si="0"/>
        <v>869.18249999999898</v>
      </c>
      <c r="E11" s="509"/>
      <c r="F11" s="510"/>
      <c r="G11" s="511">
        <f t="shared" si="1"/>
        <v>0</v>
      </c>
      <c r="H11" s="489">
        <f t="shared" si="2"/>
        <v>0</v>
      </c>
      <c r="I11" s="489">
        <f t="shared" si="3"/>
        <v>0</v>
      </c>
      <c r="J11" s="490"/>
      <c r="K11" s="489">
        <f t="shared" si="4"/>
        <v>0</v>
      </c>
      <c r="L11" s="489">
        <f>(G11)/100*8.5</f>
        <v>0</v>
      </c>
      <c r="M11" s="526">
        <f t="shared" si="15"/>
        <v>18333.932307692306</v>
      </c>
      <c r="N11" s="511">
        <f>10.69*13</f>
        <v>138.97</v>
      </c>
      <c r="O11" s="511">
        <f t="shared" si="12"/>
        <v>138.97</v>
      </c>
      <c r="P11" s="511">
        <f t="shared" si="5"/>
        <v>10.69</v>
      </c>
      <c r="Q11" s="509"/>
      <c r="R11" s="510"/>
      <c r="S11" s="511">
        <f t="shared" si="6"/>
        <v>0</v>
      </c>
      <c r="T11" s="489">
        <f t="shared" si="7"/>
        <v>0</v>
      </c>
      <c r="U11" s="489">
        <f t="shared" si="8"/>
        <v>0</v>
      </c>
      <c r="V11" s="490"/>
      <c r="W11" s="489">
        <f t="shared" si="13"/>
        <v>0</v>
      </c>
      <c r="X11" s="489">
        <f>(S11)/100*8.5</f>
        <v>0</v>
      </c>
      <c r="Z11" s="495" t="s">
        <v>317</v>
      </c>
      <c r="AA11" s="495">
        <v>26</v>
      </c>
      <c r="AB11" s="495">
        <f t="shared" si="9"/>
        <v>312</v>
      </c>
      <c r="AC11" s="509"/>
      <c r="AD11" s="510"/>
      <c r="AE11" s="511">
        <f t="shared" si="10"/>
        <v>0</v>
      </c>
      <c r="AF11" s="489">
        <f t="shared" si="11"/>
        <v>0</v>
      </c>
      <c r="AG11" s="489"/>
      <c r="AH11" s="490"/>
      <c r="AI11" s="489">
        <f t="shared" si="14"/>
        <v>0</v>
      </c>
      <c r="AJ11" s="489">
        <f>(AE11)/100*8.5</f>
        <v>0</v>
      </c>
    </row>
    <row r="12" spans="1:38" ht="16.5" thickBot="1">
      <c r="A12" s="507" t="s">
        <v>0</v>
      </c>
      <c r="B12" s="508">
        <v>19749.079999999998</v>
      </c>
      <c r="C12" s="508">
        <v>20652.45</v>
      </c>
      <c r="D12" s="508">
        <f t="shared" si="0"/>
        <v>903.37000000000262</v>
      </c>
      <c r="E12" s="509"/>
      <c r="F12" s="510"/>
      <c r="G12" s="511">
        <f t="shared" si="1"/>
        <v>0</v>
      </c>
      <c r="H12" s="489">
        <f t="shared" si="2"/>
        <v>0</v>
      </c>
      <c r="I12" s="489">
        <f t="shared" si="3"/>
        <v>0</v>
      </c>
      <c r="J12" s="490"/>
      <c r="K12" s="489">
        <f t="shared" si="4"/>
        <v>0</v>
      </c>
      <c r="L12" s="489">
        <f>(G12)/100*8.5</f>
        <v>0</v>
      </c>
      <c r="M12" s="526">
        <f t="shared" si="15"/>
        <v>19063.800000000003</v>
      </c>
      <c r="N12" s="511">
        <f>11.12*13</f>
        <v>144.56</v>
      </c>
      <c r="O12" s="511">
        <f t="shared" si="12"/>
        <v>144.56</v>
      </c>
      <c r="P12" s="511">
        <f t="shared" si="5"/>
        <v>11.120000000000001</v>
      </c>
      <c r="Q12" s="509"/>
      <c r="R12" s="510"/>
      <c r="S12" s="511">
        <f t="shared" si="6"/>
        <v>0</v>
      </c>
      <c r="T12" s="489">
        <f t="shared" si="7"/>
        <v>0</v>
      </c>
      <c r="U12" s="489">
        <f t="shared" si="8"/>
        <v>0</v>
      </c>
      <c r="V12" s="490"/>
      <c r="W12" s="489">
        <f t="shared" si="13"/>
        <v>0</v>
      </c>
      <c r="X12" s="489">
        <f>(S12)/100*8.5</f>
        <v>0</v>
      </c>
      <c r="Z12" s="495" t="s">
        <v>318</v>
      </c>
      <c r="AA12" s="495">
        <v>24</v>
      </c>
      <c r="AB12" s="495">
        <f t="shared" si="9"/>
        <v>288</v>
      </c>
      <c r="AC12" s="509"/>
      <c r="AD12" s="510"/>
      <c r="AE12" s="511">
        <f t="shared" si="10"/>
        <v>0</v>
      </c>
      <c r="AF12" s="489">
        <f t="shared" si="11"/>
        <v>0</v>
      </c>
      <c r="AG12" s="489"/>
      <c r="AH12" s="490"/>
      <c r="AI12" s="489">
        <f t="shared" si="14"/>
        <v>0</v>
      </c>
      <c r="AJ12" s="489">
        <f>(AE12)/100*8.5</f>
        <v>0</v>
      </c>
    </row>
    <row r="13" spans="1:38" ht="16.5" hidden="1" thickBot="1">
      <c r="A13" s="507" t="s">
        <v>0</v>
      </c>
      <c r="B13" s="508">
        <v>19749.079999999998</v>
      </c>
      <c r="C13" s="508">
        <v>20652.45</v>
      </c>
      <c r="D13" s="508">
        <f t="shared" si="0"/>
        <v>903.37000000000262</v>
      </c>
      <c r="E13" s="509"/>
      <c r="F13" s="510"/>
      <c r="G13" s="511">
        <f t="shared" si="1"/>
        <v>0</v>
      </c>
      <c r="H13" s="489">
        <f t="shared" si="2"/>
        <v>0</v>
      </c>
      <c r="I13" s="489">
        <f t="shared" si="3"/>
        <v>0</v>
      </c>
      <c r="J13" s="490"/>
      <c r="K13" s="489">
        <f t="shared" si="4"/>
        <v>0</v>
      </c>
      <c r="L13" s="491">
        <f>(G13)/100*0</f>
        <v>0</v>
      </c>
      <c r="M13" s="526">
        <f t="shared" si="15"/>
        <v>19063.800000000003</v>
      </c>
      <c r="N13" s="511">
        <f t="shared" ref="N13:N15" si="16">11.12*13</f>
        <v>144.56</v>
      </c>
      <c r="O13" s="511">
        <f t="shared" si="12"/>
        <v>144.56</v>
      </c>
      <c r="P13" s="511">
        <f t="shared" si="5"/>
        <v>11.120000000000001</v>
      </c>
      <c r="Q13" s="509"/>
      <c r="R13" s="510"/>
      <c r="S13" s="511">
        <f t="shared" si="6"/>
        <v>0</v>
      </c>
      <c r="T13" s="489">
        <f t="shared" si="7"/>
        <v>0</v>
      </c>
      <c r="U13" s="489">
        <f t="shared" si="8"/>
        <v>0</v>
      </c>
      <c r="V13" s="490"/>
      <c r="W13" s="489">
        <f t="shared" si="13"/>
        <v>0</v>
      </c>
      <c r="X13" s="491">
        <f>(S13)/100*0</f>
        <v>0</v>
      </c>
      <c r="Z13" s="495" t="s">
        <v>318</v>
      </c>
      <c r="AA13" s="495">
        <v>24</v>
      </c>
      <c r="AB13" s="495">
        <f t="shared" si="9"/>
        <v>288</v>
      </c>
      <c r="AC13" s="509"/>
      <c r="AD13" s="510"/>
      <c r="AE13" s="511">
        <f t="shared" si="10"/>
        <v>0</v>
      </c>
      <c r="AF13" s="489">
        <f t="shared" si="11"/>
        <v>0</v>
      </c>
      <c r="AG13" s="489"/>
      <c r="AH13" s="490"/>
      <c r="AI13" s="489">
        <f t="shared" si="14"/>
        <v>0</v>
      </c>
      <c r="AJ13" s="491">
        <f>(AE13)/100*0</f>
        <v>0</v>
      </c>
    </row>
    <row r="14" spans="1:38" ht="16.5" hidden="1" thickBot="1">
      <c r="A14" s="507" t="s">
        <v>0</v>
      </c>
      <c r="B14" s="508">
        <v>19749.079999999998</v>
      </c>
      <c r="C14" s="508">
        <v>20652.45</v>
      </c>
      <c r="D14" s="508">
        <f t="shared" si="0"/>
        <v>903.37000000000262</v>
      </c>
      <c r="E14" s="509"/>
      <c r="F14" s="510"/>
      <c r="G14" s="511">
        <f t="shared" si="1"/>
        <v>0</v>
      </c>
      <c r="H14" s="489">
        <f t="shared" si="2"/>
        <v>0</v>
      </c>
      <c r="I14" s="489">
        <f t="shared" si="3"/>
        <v>0</v>
      </c>
      <c r="J14" s="490"/>
      <c r="K14" s="489">
        <f t="shared" si="4"/>
        <v>0</v>
      </c>
      <c r="L14" s="489">
        <f>(G14)/100*8.5</f>
        <v>0</v>
      </c>
      <c r="M14" s="526">
        <f t="shared" si="15"/>
        <v>19063.800000000003</v>
      </c>
      <c r="N14" s="511">
        <f t="shared" si="16"/>
        <v>144.56</v>
      </c>
      <c r="O14" s="511">
        <f t="shared" si="12"/>
        <v>144.56</v>
      </c>
      <c r="P14" s="511">
        <f t="shared" si="5"/>
        <v>11.120000000000001</v>
      </c>
      <c r="Q14" s="509"/>
      <c r="R14" s="510"/>
      <c r="S14" s="511">
        <f t="shared" si="6"/>
        <v>0</v>
      </c>
      <c r="T14" s="489">
        <f t="shared" si="7"/>
        <v>0</v>
      </c>
      <c r="U14" s="489">
        <f t="shared" si="8"/>
        <v>0</v>
      </c>
      <c r="V14" s="490"/>
      <c r="W14" s="489">
        <f t="shared" si="13"/>
        <v>0</v>
      </c>
      <c r="X14" s="489">
        <f>(S14)/100*8.5</f>
        <v>0</v>
      </c>
      <c r="Z14" s="495" t="s">
        <v>318</v>
      </c>
      <c r="AA14" s="495">
        <v>24</v>
      </c>
      <c r="AB14" s="495">
        <f t="shared" si="9"/>
        <v>288</v>
      </c>
      <c r="AC14" s="509"/>
      <c r="AD14" s="510"/>
      <c r="AE14" s="511">
        <f t="shared" si="10"/>
        <v>0</v>
      </c>
      <c r="AF14" s="489">
        <f t="shared" si="11"/>
        <v>0</v>
      </c>
      <c r="AG14" s="489"/>
      <c r="AH14" s="490"/>
      <c r="AI14" s="489">
        <f t="shared" si="14"/>
        <v>0</v>
      </c>
      <c r="AJ14" s="489">
        <f>(AE14)/100*8.5</f>
        <v>0</v>
      </c>
    </row>
    <row r="15" spans="1:38" s="517" customFormat="1" ht="16.5" thickBot="1">
      <c r="A15" s="513" t="s">
        <v>438</v>
      </c>
      <c r="B15" s="508">
        <v>19749.079999999998</v>
      </c>
      <c r="C15" s="508">
        <v>20652.45</v>
      </c>
      <c r="D15" s="508">
        <f t="shared" ref="D15" si="17">C15-B15</f>
        <v>903.37000000000262</v>
      </c>
      <c r="E15" s="514"/>
      <c r="F15" s="543" t="s">
        <v>476</v>
      </c>
      <c r="G15" s="516"/>
      <c r="H15" s="528"/>
      <c r="I15" s="528"/>
      <c r="J15" s="529"/>
      <c r="K15" s="528"/>
      <c r="L15" s="528"/>
      <c r="M15" s="526">
        <f t="shared" si="15"/>
        <v>19063.800000000003</v>
      </c>
      <c r="N15" s="511">
        <f t="shared" si="16"/>
        <v>144.56</v>
      </c>
      <c r="O15" s="511">
        <f t="shared" si="12"/>
        <v>144.56</v>
      </c>
      <c r="P15" s="516"/>
      <c r="Q15" s="539">
        <v>1</v>
      </c>
      <c r="R15" s="543" t="s">
        <v>476</v>
      </c>
      <c r="S15" s="516"/>
      <c r="T15" s="528"/>
      <c r="U15" s="528"/>
      <c r="V15" s="529"/>
      <c r="W15" s="528"/>
      <c r="X15" s="528"/>
      <c r="Z15" s="542" t="s">
        <v>318</v>
      </c>
      <c r="AC15" s="514">
        <v>1</v>
      </c>
      <c r="AD15" s="543" t="s">
        <v>476</v>
      </c>
      <c r="AE15" s="516"/>
      <c r="AF15" s="528"/>
      <c r="AG15" s="489"/>
      <c r="AH15" s="529"/>
      <c r="AI15" s="528"/>
      <c r="AJ15" s="528"/>
      <c r="AL15" s="542" t="s">
        <v>474</v>
      </c>
    </row>
    <row r="16" spans="1:38" ht="16.5" thickBot="1">
      <c r="A16" s="507" t="s">
        <v>143</v>
      </c>
      <c r="B16" s="508">
        <v>20037.994166666667</v>
      </c>
      <c r="C16" s="508">
        <v>20955.27</v>
      </c>
      <c r="D16" s="508">
        <f t="shared" si="0"/>
        <v>917.27583333333314</v>
      </c>
      <c r="E16" s="509">
        <v>1</v>
      </c>
      <c r="F16" s="512" t="s">
        <v>364</v>
      </c>
      <c r="G16" s="511">
        <f t="shared" si="1"/>
        <v>917.27583333333314</v>
      </c>
      <c r="H16" s="489">
        <f t="shared" si="2"/>
        <v>218.31164833333327</v>
      </c>
      <c r="I16" s="489">
        <f t="shared" si="3"/>
        <v>26.417543999999992</v>
      </c>
      <c r="J16" s="490">
        <v>5</v>
      </c>
      <c r="K16" s="489">
        <f t="shared" si="4"/>
        <v>4.6322429583333333</v>
      </c>
      <c r="L16" s="489">
        <f>(G16)/100*8.5</f>
        <v>77.968445833333305</v>
      </c>
      <c r="M16" s="526">
        <f t="shared" si="15"/>
        <v>19343.326153846152</v>
      </c>
      <c r="N16" s="511">
        <f>11.28*13</f>
        <v>146.63999999999999</v>
      </c>
      <c r="O16" s="511">
        <f t="shared" si="12"/>
        <v>146.63999999999999</v>
      </c>
      <c r="P16" s="511">
        <f t="shared" si="5"/>
        <v>11.28</v>
      </c>
      <c r="Q16" s="509">
        <v>1</v>
      </c>
      <c r="R16" s="512" t="s">
        <v>364</v>
      </c>
      <c r="S16" s="832">
        <f t="shared" si="6"/>
        <v>146.63999999999999</v>
      </c>
      <c r="T16" s="489">
        <f t="shared" si="7"/>
        <v>34.900320000000001</v>
      </c>
      <c r="U16" s="489">
        <f t="shared" si="8"/>
        <v>4.2232319999999994</v>
      </c>
      <c r="V16" s="490">
        <v>5</v>
      </c>
      <c r="W16" s="489">
        <f t="shared" si="13"/>
        <v>0.74053199999999997</v>
      </c>
      <c r="X16" s="489">
        <f>(S16)/100*8.5</f>
        <v>12.464399999999999</v>
      </c>
      <c r="Z16" s="495" t="s">
        <v>169</v>
      </c>
      <c r="AA16" s="495">
        <v>24</v>
      </c>
      <c r="AB16" s="495">
        <f t="shared" si="9"/>
        <v>288</v>
      </c>
      <c r="AC16" s="509">
        <v>1</v>
      </c>
      <c r="AD16" s="512" t="s">
        <v>364</v>
      </c>
      <c r="AE16" s="832">
        <f t="shared" si="10"/>
        <v>288</v>
      </c>
      <c r="AF16" s="489">
        <f t="shared" si="11"/>
        <v>68.543999999999997</v>
      </c>
      <c r="AG16" s="489"/>
      <c r="AH16" s="490">
        <v>5</v>
      </c>
      <c r="AI16" s="489">
        <f>((AE16/1000)*AH16)+((AE16/1000)*AH16)*1%</f>
        <v>1.4543999999999999</v>
      </c>
      <c r="AJ16" s="489">
        <f>(AE16)/100*8.5</f>
        <v>24.48</v>
      </c>
    </row>
    <row r="17" spans="1:36" ht="16.5" thickBot="1">
      <c r="A17" s="507" t="s">
        <v>143</v>
      </c>
      <c r="B17" s="508">
        <v>20037.994166666667</v>
      </c>
      <c r="C17" s="508">
        <v>20955.27</v>
      </c>
      <c r="D17" s="508">
        <f t="shared" si="0"/>
        <v>917.27583333333314</v>
      </c>
      <c r="E17" s="509">
        <v>0.8</v>
      </c>
      <c r="F17" s="510" t="s">
        <v>365</v>
      </c>
      <c r="G17" s="511">
        <f t="shared" si="1"/>
        <v>733.82066666666651</v>
      </c>
      <c r="H17" s="489">
        <f t="shared" si="2"/>
        <v>174.64931866666663</v>
      </c>
      <c r="I17" s="489">
        <f t="shared" si="3"/>
        <v>21.134035199999996</v>
      </c>
      <c r="J17" s="490">
        <v>5</v>
      </c>
      <c r="K17" s="489">
        <f t="shared" si="4"/>
        <v>3.705794366666666</v>
      </c>
      <c r="L17" s="489">
        <f>(G17)/100*8.5</f>
        <v>62.374756666666656</v>
      </c>
      <c r="M17" s="526">
        <f t="shared" si="15"/>
        <v>19343.326153846152</v>
      </c>
      <c r="N17" s="511">
        <f t="shared" ref="N17:N19" si="18">11.28*13</f>
        <v>146.63999999999999</v>
      </c>
      <c r="O17" s="511">
        <f t="shared" si="12"/>
        <v>146.63999999999999</v>
      </c>
      <c r="P17" s="511">
        <f t="shared" si="5"/>
        <v>11.28</v>
      </c>
      <c r="Q17" s="509">
        <v>0.8</v>
      </c>
      <c r="R17" s="512" t="s">
        <v>365</v>
      </c>
      <c r="S17" s="832">
        <f t="shared" si="6"/>
        <v>117.312</v>
      </c>
      <c r="T17" s="489">
        <f t="shared" si="7"/>
        <v>27.920255999999998</v>
      </c>
      <c r="U17" s="489">
        <f t="shared" si="8"/>
        <v>3.3785855999999996</v>
      </c>
      <c r="V17" s="490">
        <v>5</v>
      </c>
      <c r="W17" s="489">
        <f t="shared" si="13"/>
        <v>0.5924256</v>
      </c>
      <c r="X17" s="489">
        <f>(S17)/100*8.5</f>
        <v>9.9715199999999999</v>
      </c>
      <c r="Z17" s="495" t="s">
        <v>169</v>
      </c>
      <c r="AA17" s="495">
        <v>24</v>
      </c>
      <c r="AB17" s="495">
        <f t="shared" si="9"/>
        <v>288</v>
      </c>
      <c r="AC17" s="509">
        <v>0.8</v>
      </c>
      <c r="AD17" s="512" t="s">
        <v>365</v>
      </c>
      <c r="AE17" s="832">
        <f t="shared" si="10"/>
        <v>230.4</v>
      </c>
      <c r="AF17" s="489">
        <f t="shared" si="11"/>
        <v>54.835200000000007</v>
      </c>
      <c r="AG17" s="489"/>
      <c r="AH17" s="490">
        <v>5</v>
      </c>
      <c r="AI17" s="489">
        <f t="shared" si="14"/>
        <v>1.1635199999999999</v>
      </c>
      <c r="AJ17" s="489">
        <f>(AE17)/100*8.5</f>
        <v>19.584000000000003</v>
      </c>
    </row>
    <row r="18" spans="1:36" ht="16.5" thickBot="1">
      <c r="A18" s="507" t="s">
        <v>143</v>
      </c>
      <c r="B18" s="508">
        <v>20037.994166666667</v>
      </c>
      <c r="C18" s="508">
        <v>20955.27</v>
      </c>
      <c r="D18" s="508">
        <f t="shared" si="0"/>
        <v>917.27583333333314</v>
      </c>
      <c r="E18" s="509">
        <v>1</v>
      </c>
      <c r="F18" s="510" t="s">
        <v>366</v>
      </c>
      <c r="G18" s="511">
        <f t="shared" si="1"/>
        <v>917.27583333333314</v>
      </c>
      <c r="H18" s="489">
        <f t="shared" si="2"/>
        <v>218.31164833333327</v>
      </c>
      <c r="I18" s="489">
        <f t="shared" si="3"/>
        <v>26.417543999999992</v>
      </c>
      <c r="J18" s="490">
        <v>12</v>
      </c>
      <c r="K18" s="489">
        <f t="shared" si="4"/>
        <v>11.117383099999998</v>
      </c>
      <c r="L18" s="491">
        <f>(G12)/100*0</f>
        <v>0</v>
      </c>
      <c r="M18" s="526">
        <f t="shared" si="15"/>
        <v>19343.326153846152</v>
      </c>
      <c r="N18" s="511">
        <f t="shared" si="18"/>
        <v>146.63999999999999</v>
      </c>
      <c r="O18" s="511">
        <f t="shared" si="12"/>
        <v>146.63999999999999</v>
      </c>
      <c r="P18" s="511">
        <f t="shared" si="5"/>
        <v>11.28</v>
      </c>
      <c r="Q18" s="509">
        <v>1</v>
      </c>
      <c r="R18" s="512" t="s">
        <v>366</v>
      </c>
      <c r="S18" s="832">
        <f t="shared" si="6"/>
        <v>146.63999999999999</v>
      </c>
      <c r="T18" s="489">
        <f t="shared" si="7"/>
        <v>34.900320000000001</v>
      </c>
      <c r="U18" s="489">
        <f t="shared" si="8"/>
        <v>4.2232319999999994</v>
      </c>
      <c r="V18" s="490">
        <v>12</v>
      </c>
      <c r="W18" s="489">
        <f>((S18/1000)*V18)+((S18/1000)*V18)*1%</f>
        <v>1.7772767999999999</v>
      </c>
      <c r="X18" s="491">
        <f>(S12)/100*0</f>
        <v>0</v>
      </c>
      <c r="Z18" s="495" t="s">
        <v>169</v>
      </c>
      <c r="AA18" s="495">
        <v>24</v>
      </c>
      <c r="AB18" s="495">
        <f t="shared" si="9"/>
        <v>288</v>
      </c>
      <c r="AC18" s="509">
        <v>1</v>
      </c>
      <c r="AD18" s="512" t="s">
        <v>366</v>
      </c>
      <c r="AE18" s="832">
        <f t="shared" si="10"/>
        <v>288</v>
      </c>
      <c r="AF18" s="489">
        <f t="shared" si="11"/>
        <v>68.543999999999997</v>
      </c>
      <c r="AG18" s="489"/>
      <c r="AH18" s="490">
        <v>12</v>
      </c>
      <c r="AI18" s="489">
        <f>((AE18/1000)*AH18)+((AE18/1000)*AH18)*1%</f>
        <v>3.4905599999999994</v>
      </c>
      <c r="AJ18" s="491">
        <f>(AE12)/100*0</f>
        <v>0</v>
      </c>
    </row>
    <row r="19" spans="1:36" ht="16.5" thickBot="1">
      <c r="A19" s="507" t="s">
        <v>143</v>
      </c>
      <c r="B19" s="508">
        <v>20037.994166666667</v>
      </c>
      <c r="C19" s="508">
        <v>20955.27</v>
      </c>
      <c r="D19" s="508">
        <f t="shared" si="0"/>
        <v>917.27583333333314</v>
      </c>
      <c r="E19" s="509"/>
      <c r="F19" s="510"/>
      <c r="G19" s="511">
        <f t="shared" si="1"/>
        <v>0</v>
      </c>
      <c r="H19" s="489">
        <f t="shared" si="2"/>
        <v>0</v>
      </c>
      <c r="I19" s="489">
        <f t="shared" si="3"/>
        <v>0</v>
      </c>
      <c r="J19" s="490">
        <v>5</v>
      </c>
      <c r="K19" s="489">
        <f t="shared" si="4"/>
        <v>0</v>
      </c>
      <c r="L19" s="489">
        <f>(G19)/100*8.5</f>
        <v>0</v>
      </c>
      <c r="M19" s="526">
        <f t="shared" si="15"/>
        <v>19343.326153846152</v>
      </c>
      <c r="N19" s="511">
        <f t="shared" si="18"/>
        <v>146.63999999999999</v>
      </c>
      <c r="O19" s="511">
        <f t="shared" si="12"/>
        <v>146.63999999999999</v>
      </c>
      <c r="P19" s="511">
        <f t="shared" si="5"/>
        <v>11.28</v>
      </c>
      <c r="Q19" s="509"/>
      <c r="R19" s="835"/>
      <c r="S19" s="832">
        <f t="shared" si="6"/>
        <v>0</v>
      </c>
      <c r="T19" s="489">
        <f t="shared" si="7"/>
        <v>0</v>
      </c>
      <c r="U19" s="489">
        <f t="shared" si="8"/>
        <v>0</v>
      </c>
      <c r="V19" s="490">
        <v>5</v>
      </c>
      <c r="W19" s="489">
        <f t="shared" si="13"/>
        <v>0</v>
      </c>
      <c r="X19" s="489">
        <f>(S19)/100*8.5</f>
        <v>0</v>
      </c>
      <c r="Z19" s="495" t="s">
        <v>169</v>
      </c>
      <c r="AA19" s="495">
        <v>24</v>
      </c>
      <c r="AB19" s="495">
        <f t="shared" si="9"/>
        <v>288</v>
      </c>
      <c r="AC19" s="509"/>
      <c r="AD19" s="512"/>
      <c r="AE19" s="832">
        <f t="shared" si="10"/>
        <v>0</v>
      </c>
      <c r="AF19" s="489">
        <f t="shared" si="11"/>
        <v>0</v>
      </c>
      <c r="AG19" s="489"/>
      <c r="AH19" s="490">
        <v>5</v>
      </c>
      <c r="AI19" s="489">
        <f t="shared" si="14"/>
        <v>0</v>
      </c>
      <c r="AJ19" s="489">
        <f>(AE19)/100*8.5</f>
        <v>0</v>
      </c>
    </row>
    <row r="20" spans="1:36" ht="16.5" thickBot="1">
      <c r="A20" s="507" t="s">
        <v>148</v>
      </c>
      <c r="B20" s="508">
        <v>20376.189166666667</v>
      </c>
      <c r="C20" s="508">
        <v>21309.07</v>
      </c>
      <c r="D20" s="508">
        <f t="shared" si="0"/>
        <v>932.8808333333327</v>
      </c>
      <c r="E20" s="509">
        <v>1</v>
      </c>
      <c r="F20" s="510" t="s">
        <v>367</v>
      </c>
      <c r="G20" s="511">
        <f t="shared" si="1"/>
        <v>932.8808333333327</v>
      </c>
      <c r="H20" s="489">
        <f t="shared" si="2"/>
        <v>222.02563833333321</v>
      </c>
      <c r="I20" s="489">
        <f t="shared" si="3"/>
        <v>26.866967999999982</v>
      </c>
      <c r="J20" s="490">
        <v>12</v>
      </c>
      <c r="K20" s="489">
        <f t="shared" si="4"/>
        <v>11.306515699999991</v>
      </c>
      <c r="L20" s="491">
        <f>(G14)/100*0</f>
        <v>0</v>
      </c>
      <c r="M20" s="526">
        <f t="shared" si="15"/>
        <v>19669.91076923077</v>
      </c>
      <c r="N20" s="511">
        <f>11.47*13</f>
        <v>149.11000000000001</v>
      </c>
      <c r="O20" s="511">
        <f t="shared" si="12"/>
        <v>149.11000000000001</v>
      </c>
      <c r="P20" s="511">
        <f t="shared" si="5"/>
        <v>11.47</v>
      </c>
      <c r="Q20" s="509">
        <v>1</v>
      </c>
      <c r="R20" s="512" t="s">
        <v>367</v>
      </c>
      <c r="S20" s="832">
        <f t="shared" si="6"/>
        <v>149.11000000000001</v>
      </c>
      <c r="T20" s="489">
        <f t="shared" si="7"/>
        <v>35.48818</v>
      </c>
      <c r="U20" s="489">
        <f t="shared" si="8"/>
        <v>4.2943680000000004</v>
      </c>
      <c r="V20" s="490">
        <v>12</v>
      </c>
      <c r="W20" s="489">
        <f>((S20/1000)*V20)+((S20/1000)*V20)*1%</f>
        <v>1.8072132000000003</v>
      </c>
      <c r="X20" s="491">
        <f>(S14)/100*0</f>
        <v>0</v>
      </c>
      <c r="Z20" s="495" t="s">
        <v>319</v>
      </c>
      <c r="AA20" s="495">
        <v>23</v>
      </c>
      <c r="AB20" s="495">
        <f t="shared" si="9"/>
        <v>276</v>
      </c>
      <c r="AC20" s="509">
        <v>1</v>
      </c>
      <c r="AD20" s="512" t="s">
        <v>367</v>
      </c>
      <c r="AE20" s="832">
        <f t="shared" si="10"/>
        <v>276</v>
      </c>
      <c r="AF20" s="489">
        <f t="shared" si="11"/>
        <v>65.688000000000002</v>
      </c>
      <c r="AG20" s="489"/>
      <c r="AH20" s="490">
        <v>12</v>
      </c>
      <c r="AI20" s="489">
        <f>((AE20/1000)*AH20)+((AE20/1000)*AH20)*1%</f>
        <v>3.3451200000000001</v>
      </c>
      <c r="AJ20" s="491">
        <f t="shared" ref="AJ20:AJ22" si="19">(AE14)/100*0</f>
        <v>0</v>
      </c>
    </row>
    <row r="21" spans="1:36" ht="16.5" thickBot="1">
      <c r="A21" s="507" t="s">
        <v>148</v>
      </c>
      <c r="B21" s="508">
        <v>20376.189166666667</v>
      </c>
      <c r="C21" s="508">
        <v>21309.07</v>
      </c>
      <c r="D21" s="508">
        <f t="shared" si="0"/>
        <v>932.8808333333327</v>
      </c>
      <c r="E21" s="509">
        <v>1</v>
      </c>
      <c r="F21" s="510" t="s">
        <v>368</v>
      </c>
      <c r="G21" s="511">
        <f t="shared" si="1"/>
        <v>932.8808333333327</v>
      </c>
      <c r="H21" s="489">
        <f t="shared" si="2"/>
        <v>222.02563833333321</v>
      </c>
      <c r="I21" s="489">
        <f t="shared" si="3"/>
        <v>26.866967999999982</v>
      </c>
      <c r="J21" s="490">
        <v>12</v>
      </c>
      <c r="K21" s="489">
        <f t="shared" si="4"/>
        <v>11.306515699999991</v>
      </c>
      <c r="L21" s="491">
        <f>(G16)/100*0</f>
        <v>0</v>
      </c>
      <c r="M21" s="526">
        <f t="shared" si="15"/>
        <v>19669.91076923077</v>
      </c>
      <c r="N21" s="511">
        <f t="shared" ref="N21:N25" si="20">11.47*13</f>
        <v>149.11000000000001</v>
      </c>
      <c r="O21" s="511">
        <f t="shared" si="12"/>
        <v>149.11000000000001</v>
      </c>
      <c r="P21" s="511">
        <f t="shared" si="5"/>
        <v>11.47</v>
      </c>
      <c r="Q21" s="509">
        <v>1</v>
      </c>
      <c r="R21" s="512" t="s">
        <v>368</v>
      </c>
      <c r="S21" s="832">
        <f t="shared" si="6"/>
        <v>149.11000000000001</v>
      </c>
      <c r="T21" s="489">
        <f t="shared" si="7"/>
        <v>35.48818</v>
      </c>
      <c r="U21" s="489">
        <f t="shared" si="8"/>
        <v>4.2943680000000004</v>
      </c>
      <c r="V21" s="490">
        <v>12</v>
      </c>
      <c r="W21" s="489">
        <f>((S21/1000)*V21)+((S21/1000)*V21)*1%</f>
        <v>1.8072132000000003</v>
      </c>
      <c r="X21" s="491">
        <f>(S16)/100*0</f>
        <v>0</v>
      </c>
      <c r="Z21" s="495" t="s">
        <v>319</v>
      </c>
      <c r="AA21" s="495">
        <v>23</v>
      </c>
      <c r="AB21" s="495">
        <f t="shared" si="9"/>
        <v>276</v>
      </c>
      <c r="AC21" s="509">
        <v>1</v>
      </c>
      <c r="AD21" s="512" t="s">
        <v>368</v>
      </c>
      <c r="AE21" s="832">
        <f t="shared" si="10"/>
        <v>276</v>
      </c>
      <c r="AF21" s="489">
        <f t="shared" si="11"/>
        <v>65.688000000000002</v>
      </c>
      <c r="AG21" s="489"/>
      <c r="AH21" s="490">
        <v>12</v>
      </c>
      <c r="AI21" s="489">
        <f>((AE21/1000)*AH21)+((AE21/1000)*AH21)*1%</f>
        <v>3.3451200000000001</v>
      </c>
      <c r="AJ21" s="491">
        <f t="shared" si="19"/>
        <v>0</v>
      </c>
    </row>
    <row r="22" spans="1:36" ht="16.5" thickBot="1">
      <c r="A22" s="507" t="s">
        <v>148</v>
      </c>
      <c r="B22" s="508">
        <v>20376.189166666667</v>
      </c>
      <c r="C22" s="508">
        <v>21309.07</v>
      </c>
      <c r="D22" s="508">
        <f t="shared" si="0"/>
        <v>932.8808333333327</v>
      </c>
      <c r="E22" s="509">
        <v>1</v>
      </c>
      <c r="F22" s="510" t="s">
        <v>369</v>
      </c>
      <c r="G22" s="511">
        <f t="shared" si="1"/>
        <v>932.8808333333327</v>
      </c>
      <c r="H22" s="489">
        <f t="shared" si="2"/>
        <v>222.02563833333321</v>
      </c>
      <c r="I22" s="489">
        <f t="shared" si="3"/>
        <v>26.866967999999982</v>
      </c>
      <c r="J22" s="490">
        <v>12</v>
      </c>
      <c r="K22" s="489">
        <f t="shared" si="4"/>
        <v>11.306515699999991</v>
      </c>
      <c r="L22" s="491">
        <f>(G17)/100*0</f>
        <v>0</v>
      </c>
      <c r="M22" s="526">
        <f t="shared" si="15"/>
        <v>19669.91076923077</v>
      </c>
      <c r="N22" s="511">
        <f t="shared" si="20"/>
        <v>149.11000000000001</v>
      </c>
      <c r="O22" s="511">
        <f t="shared" si="12"/>
        <v>149.11000000000001</v>
      </c>
      <c r="P22" s="511">
        <f t="shared" si="5"/>
        <v>11.47</v>
      </c>
      <c r="Q22" s="509">
        <v>1</v>
      </c>
      <c r="R22" s="512" t="s">
        <v>369</v>
      </c>
      <c r="S22" s="832">
        <f t="shared" si="6"/>
        <v>149.11000000000001</v>
      </c>
      <c r="T22" s="489">
        <f t="shared" si="7"/>
        <v>35.48818</v>
      </c>
      <c r="U22" s="489">
        <f t="shared" si="8"/>
        <v>4.2943680000000004</v>
      </c>
      <c r="V22" s="490">
        <v>12</v>
      </c>
      <c r="W22" s="489">
        <f>((S22/1000)*V22)+((S22/1000)*V22)*1%</f>
        <v>1.8072132000000003</v>
      </c>
      <c r="X22" s="491">
        <f>(S17)/100*0</f>
        <v>0</v>
      </c>
      <c r="Z22" s="495" t="s">
        <v>319</v>
      </c>
      <c r="AA22" s="495">
        <v>23</v>
      </c>
      <c r="AB22" s="495">
        <f t="shared" si="9"/>
        <v>276</v>
      </c>
      <c r="AC22" s="509">
        <v>1</v>
      </c>
      <c r="AD22" s="512" t="s">
        <v>369</v>
      </c>
      <c r="AE22" s="832">
        <f t="shared" si="10"/>
        <v>276</v>
      </c>
      <c r="AF22" s="489">
        <f t="shared" si="11"/>
        <v>65.688000000000002</v>
      </c>
      <c r="AG22" s="489"/>
      <c r="AH22" s="490">
        <v>12</v>
      </c>
      <c r="AI22" s="489">
        <f>((AE22/1000)*AH22)+((AE22/1000)*AH22)*1%</f>
        <v>3.3451200000000001</v>
      </c>
      <c r="AJ22" s="491">
        <f t="shared" si="19"/>
        <v>0</v>
      </c>
    </row>
    <row r="23" spans="1:36" ht="16.5" thickBot="1">
      <c r="A23" s="507" t="s">
        <v>148</v>
      </c>
      <c r="B23" s="508">
        <v>20376.189166666667</v>
      </c>
      <c r="C23" s="508">
        <v>21309.07</v>
      </c>
      <c r="D23" s="508">
        <f t="shared" si="0"/>
        <v>932.8808333333327</v>
      </c>
      <c r="E23" s="509">
        <v>1</v>
      </c>
      <c r="F23" s="510" t="s">
        <v>370</v>
      </c>
      <c r="G23" s="511">
        <f t="shared" si="1"/>
        <v>932.8808333333327</v>
      </c>
      <c r="H23" s="489">
        <f t="shared" si="2"/>
        <v>222.02563833333321</v>
      </c>
      <c r="I23" s="489">
        <f t="shared" si="3"/>
        <v>26.866967999999982</v>
      </c>
      <c r="J23" s="490">
        <v>5</v>
      </c>
      <c r="K23" s="489">
        <f t="shared" si="4"/>
        <v>4.71104820833333</v>
      </c>
      <c r="L23" s="489">
        <f>(G23)/100*8.5</f>
        <v>79.294870833333277</v>
      </c>
      <c r="M23" s="526">
        <f t="shared" si="15"/>
        <v>19669.91076923077</v>
      </c>
      <c r="N23" s="511">
        <f t="shared" si="20"/>
        <v>149.11000000000001</v>
      </c>
      <c r="O23" s="511">
        <f t="shared" si="12"/>
        <v>149.11000000000001</v>
      </c>
      <c r="P23" s="511">
        <f t="shared" si="5"/>
        <v>11.47</v>
      </c>
      <c r="Q23" s="509">
        <v>1</v>
      </c>
      <c r="R23" s="512" t="s">
        <v>370</v>
      </c>
      <c r="S23" s="832">
        <f t="shared" si="6"/>
        <v>149.11000000000001</v>
      </c>
      <c r="T23" s="489">
        <f t="shared" si="7"/>
        <v>35.48818</v>
      </c>
      <c r="U23" s="489">
        <f t="shared" si="8"/>
        <v>4.2943680000000004</v>
      </c>
      <c r="V23" s="490">
        <v>5</v>
      </c>
      <c r="W23" s="489">
        <f>((S23/1000)*V23)+((S23/1000)*V23)*1%</f>
        <v>0.75300550000000011</v>
      </c>
      <c r="X23" s="489">
        <f>(S23)/100*8.5</f>
        <v>12.67435</v>
      </c>
      <c r="Z23" s="495" t="s">
        <v>319</v>
      </c>
      <c r="AA23" s="495">
        <v>23</v>
      </c>
      <c r="AB23" s="495">
        <f t="shared" si="9"/>
        <v>276</v>
      </c>
      <c r="AC23" s="509">
        <v>1</v>
      </c>
      <c r="AD23" s="512" t="s">
        <v>370</v>
      </c>
      <c r="AE23" s="832">
        <f t="shared" si="10"/>
        <v>276</v>
      </c>
      <c r="AF23" s="489">
        <f t="shared" si="11"/>
        <v>65.688000000000002</v>
      </c>
      <c r="AG23" s="489"/>
      <c r="AH23" s="490">
        <v>5</v>
      </c>
      <c r="AI23" s="489">
        <f>((AE23/1000)*AH23)+((AE23/1000)*AH23)*1%</f>
        <v>1.3938000000000001</v>
      </c>
      <c r="AJ23" s="489">
        <f t="shared" ref="AJ23:AJ72" si="21">(AE23)/100*8.5</f>
        <v>23.459999999999997</v>
      </c>
    </row>
    <row r="24" spans="1:36" ht="16.5" thickBot="1">
      <c r="A24" s="507" t="s">
        <v>148</v>
      </c>
      <c r="B24" s="508">
        <v>20376.189166666667</v>
      </c>
      <c r="C24" s="508">
        <v>21309.07</v>
      </c>
      <c r="D24" s="508">
        <f t="shared" si="0"/>
        <v>932.8808333333327</v>
      </c>
      <c r="E24" s="509">
        <v>1</v>
      </c>
      <c r="F24" s="510" t="s">
        <v>371</v>
      </c>
      <c r="G24" s="511">
        <f t="shared" si="1"/>
        <v>932.8808333333327</v>
      </c>
      <c r="H24" s="489">
        <f t="shared" si="2"/>
        <v>222.02563833333321</v>
      </c>
      <c r="I24" s="489">
        <f t="shared" si="3"/>
        <v>26.866967999999982</v>
      </c>
      <c r="J24" s="490">
        <v>23</v>
      </c>
      <c r="K24" s="489">
        <f t="shared" si="4"/>
        <v>21.670821758333318</v>
      </c>
      <c r="L24" s="489">
        <f>(G24)/100*8.5</f>
        <v>79.294870833333277</v>
      </c>
      <c r="M24" s="526">
        <f t="shared" si="15"/>
        <v>19669.91076923077</v>
      </c>
      <c r="N24" s="511">
        <f t="shared" si="20"/>
        <v>149.11000000000001</v>
      </c>
      <c r="O24" s="511">
        <f t="shared" si="12"/>
        <v>149.11000000000001</v>
      </c>
      <c r="P24" s="511">
        <f t="shared" si="5"/>
        <v>11.47</v>
      </c>
      <c r="Q24" s="509">
        <v>1</v>
      </c>
      <c r="R24" s="512" t="s">
        <v>371</v>
      </c>
      <c r="S24" s="832">
        <f t="shared" si="6"/>
        <v>149.11000000000001</v>
      </c>
      <c r="T24" s="489">
        <f t="shared" si="7"/>
        <v>35.48818</v>
      </c>
      <c r="U24" s="489">
        <f t="shared" si="8"/>
        <v>4.2943680000000004</v>
      </c>
      <c r="V24" s="490">
        <v>23</v>
      </c>
      <c r="W24" s="489">
        <f>((S24/1000)*V24)+((S24/1000)*V24)*1%</f>
        <v>3.4638253000000008</v>
      </c>
      <c r="X24" s="489">
        <f>(S24)/100*8.5</f>
        <v>12.67435</v>
      </c>
      <c r="Z24" s="495" t="s">
        <v>319</v>
      </c>
      <c r="AA24" s="495">
        <v>23</v>
      </c>
      <c r="AB24" s="495">
        <f t="shared" si="9"/>
        <v>276</v>
      </c>
      <c r="AC24" s="509">
        <v>1</v>
      </c>
      <c r="AD24" s="512" t="s">
        <v>371</v>
      </c>
      <c r="AE24" s="832">
        <f t="shared" si="10"/>
        <v>276</v>
      </c>
      <c r="AF24" s="489">
        <f t="shared" si="11"/>
        <v>65.688000000000002</v>
      </c>
      <c r="AG24" s="489"/>
      <c r="AH24" s="490">
        <v>23</v>
      </c>
      <c r="AI24" s="489">
        <f>((AE24/1000)*AH24)+((AE24/1000)*AH24)*1%</f>
        <v>6.411480000000001</v>
      </c>
      <c r="AJ24" s="489">
        <f t="shared" si="21"/>
        <v>23.459999999999997</v>
      </c>
    </row>
    <row r="25" spans="1:36" ht="16.5" thickBot="1">
      <c r="A25" s="507" t="s">
        <v>148</v>
      </c>
      <c r="B25" s="508">
        <v>20376.189166666667</v>
      </c>
      <c r="C25" s="508">
        <v>21309.07</v>
      </c>
      <c r="D25" s="508">
        <f t="shared" si="0"/>
        <v>932.8808333333327</v>
      </c>
      <c r="E25" s="509">
        <v>1</v>
      </c>
      <c r="F25" s="510" t="s">
        <v>372</v>
      </c>
      <c r="G25" s="511">
        <f t="shared" si="1"/>
        <v>932.8808333333327</v>
      </c>
      <c r="H25" s="489">
        <f t="shared" si="2"/>
        <v>222.02563833333321</v>
      </c>
      <c r="I25" s="489">
        <f t="shared" si="3"/>
        <v>26.866967999999982</v>
      </c>
      <c r="J25" s="490">
        <v>23</v>
      </c>
      <c r="K25" s="489">
        <f t="shared" si="4"/>
        <v>21.670821758333318</v>
      </c>
      <c r="L25" s="489">
        <f>(G25)/100*8.5</f>
        <v>79.294870833333277</v>
      </c>
      <c r="M25" s="526">
        <f t="shared" si="15"/>
        <v>19669.91076923077</v>
      </c>
      <c r="N25" s="511">
        <f t="shared" si="20"/>
        <v>149.11000000000001</v>
      </c>
      <c r="O25" s="511">
        <f t="shared" si="12"/>
        <v>149.11000000000001</v>
      </c>
      <c r="P25" s="511">
        <f t="shared" si="5"/>
        <v>11.47</v>
      </c>
      <c r="Q25" s="509">
        <v>1</v>
      </c>
      <c r="R25" s="512" t="s">
        <v>372</v>
      </c>
      <c r="S25" s="832">
        <f t="shared" si="6"/>
        <v>149.11000000000001</v>
      </c>
      <c r="T25" s="489">
        <f t="shared" si="7"/>
        <v>35.48818</v>
      </c>
      <c r="U25" s="489">
        <f t="shared" si="8"/>
        <v>4.2943680000000004</v>
      </c>
      <c r="V25" s="490">
        <v>23</v>
      </c>
      <c r="W25" s="489">
        <f t="shared" si="13"/>
        <v>3.4638253000000008</v>
      </c>
      <c r="X25" s="489">
        <f>(S25)/100*8.5</f>
        <v>12.67435</v>
      </c>
      <c r="Z25" s="495" t="s">
        <v>319</v>
      </c>
      <c r="AA25" s="495">
        <v>23</v>
      </c>
      <c r="AB25" s="495">
        <f t="shared" si="9"/>
        <v>276</v>
      </c>
      <c r="AC25" s="509">
        <v>1</v>
      </c>
      <c r="AD25" s="512" t="s">
        <v>372</v>
      </c>
      <c r="AE25" s="832">
        <f t="shared" si="10"/>
        <v>276</v>
      </c>
      <c r="AF25" s="489">
        <f t="shared" si="11"/>
        <v>65.688000000000002</v>
      </c>
      <c r="AG25" s="489"/>
      <c r="AH25" s="490">
        <v>23</v>
      </c>
      <c r="AI25" s="489">
        <f t="shared" si="14"/>
        <v>6.411480000000001</v>
      </c>
      <c r="AJ25" s="489">
        <f t="shared" si="21"/>
        <v>23.459999999999997</v>
      </c>
    </row>
    <row r="26" spans="1:36" ht="16.5" thickBot="1">
      <c r="A26" s="507" t="s">
        <v>101</v>
      </c>
      <c r="B26" s="508">
        <v>20738.878333333334</v>
      </c>
      <c r="C26" s="508">
        <v>21687.360000000001</v>
      </c>
      <c r="D26" s="508">
        <f t="shared" si="0"/>
        <v>948.48166666666657</v>
      </c>
      <c r="E26" s="509">
        <v>1</v>
      </c>
      <c r="F26" s="510" t="s">
        <v>373</v>
      </c>
      <c r="G26" s="511">
        <f t="shared" si="1"/>
        <v>948.48166666666657</v>
      </c>
      <c r="H26" s="489">
        <f t="shared" si="2"/>
        <v>225.73863666666665</v>
      </c>
      <c r="I26" s="489">
        <f t="shared" si="3"/>
        <v>27.316271999999994</v>
      </c>
      <c r="J26" s="490">
        <v>5</v>
      </c>
      <c r="K26" s="489">
        <f t="shared" si="4"/>
        <v>4.7898324166666661</v>
      </c>
      <c r="L26" s="489">
        <f t="shared" ref="L26:L49" si="22">(G26)/100*8.5</f>
        <v>80.620941666666653</v>
      </c>
      <c r="M26" s="526">
        <f t="shared" si="15"/>
        <v>20019.101538461538</v>
      </c>
      <c r="N26" s="511">
        <f>11.68*13</f>
        <v>151.84</v>
      </c>
      <c r="O26" s="511">
        <f t="shared" si="12"/>
        <v>151.84</v>
      </c>
      <c r="P26" s="511">
        <f t="shared" si="5"/>
        <v>11.68</v>
      </c>
      <c r="Q26" s="509">
        <v>1</v>
      </c>
      <c r="R26" s="512" t="s">
        <v>373</v>
      </c>
      <c r="S26" s="832">
        <f t="shared" si="6"/>
        <v>151.84</v>
      </c>
      <c r="T26" s="489">
        <f t="shared" si="7"/>
        <v>36.137920000000001</v>
      </c>
      <c r="U26" s="489">
        <f t="shared" si="8"/>
        <v>4.372992</v>
      </c>
      <c r="V26" s="490">
        <v>5</v>
      </c>
      <c r="W26" s="489">
        <f t="shared" si="13"/>
        <v>0.76679200000000003</v>
      </c>
      <c r="X26" s="489">
        <f t="shared" ref="X26:X49" si="23">(S26)/100*8.5</f>
        <v>12.9064</v>
      </c>
      <c r="Z26" s="495" t="s">
        <v>320</v>
      </c>
      <c r="AA26" s="495">
        <v>23</v>
      </c>
      <c r="AB26" s="495">
        <f t="shared" si="9"/>
        <v>276</v>
      </c>
      <c r="AC26" s="509">
        <v>1</v>
      </c>
      <c r="AD26" s="512" t="s">
        <v>373</v>
      </c>
      <c r="AE26" s="832">
        <f t="shared" si="10"/>
        <v>276</v>
      </c>
      <c r="AF26" s="489">
        <f t="shared" si="11"/>
        <v>65.688000000000002</v>
      </c>
      <c r="AG26" s="489"/>
      <c r="AH26" s="490">
        <v>5</v>
      </c>
      <c r="AI26" s="489">
        <f t="shared" si="14"/>
        <v>1.3938000000000001</v>
      </c>
      <c r="AJ26" s="489">
        <f t="shared" si="21"/>
        <v>23.459999999999997</v>
      </c>
    </row>
    <row r="27" spans="1:36" ht="16.5" thickBot="1">
      <c r="A27" s="507" t="s">
        <v>101</v>
      </c>
      <c r="B27" s="508">
        <v>20738.878333333334</v>
      </c>
      <c r="C27" s="508">
        <v>21687.360000000001</v>
      </c>
      <c r="D27" s="508">
        <f t="shared" si="0"/>
        <v>948.48166666666657</v>
      </c>
      <c r="E27" s="509">
        <v>1</v>
      </c>
      <c r="F27" s="510" t="s">
        <v>374</v>
      </c>
      <c r="G27" s="511">
        <f t="shared" si="1"/>
        <v>948.48166666666657</v>
      </c>
      <c r="H27" s="489">
        <f t="shared" si="2"/>
        <v>225.73863666666665</v>
      </c>
      <c r="I27" s="489">
        <f t="shared" si="3"/>
        <v>27.316271999999994</v>
      </c>
      <c r="J27" s="490">
        <v>12</v>
      </c>
      <c r="K27" s="489">
        <f t="shared" si="4"/>
        <v>11.495597799999999</v>
      </c>
      <c r="L27" s="491">
        <f>(G22)/100*0</f>
        <v>0</v>
      </c>
      <c r="M27" s="526">
        <f t="shared" si="15"/>
        <v>20019.101538461538</v>
      </c>
      <c r="N27" s="511">
        <f t="shared" ref="N27:N38" si="24">11.68*13</f>
        <v>151.84</v>
      </c>
      <c r="O27" s="511">
        <f t="shared" si="12"/>
        <v>151.84</v>
      </c>
      <c r="P27" s="511">
        <f t="shared" si="5"/>
        <v>11.68</v>
      </c>
      <c r="Q27" s="509">
        <v>1</v>
      </c>
      <c r="R27" s="512" t="s">
        <v>374</v>
      </c>
      <c r="S27" s="832">
        <f t="shared" si="6"/>
        <v>151.84</v>
      </c>
      <c r="T27" s="489">
        <f t="shared" si="7"/>
        <v>36.137920000000001</v>
      </c>
      <c r="U27" s="489">
        <f t="shared" si="8"/>
        <v>4.372992</v>
      </c>
      <c r="V27" s="490">
        <v>12</v>
      </c>
      <c r="W27" s="489">
        <f t="shared" si="13"/>
        <v>1.8403008000000001</v>
      </c>
      <c r="X27" s="491">
        <f>(S22)/100*0</f>
        <v>0</v>
      </c>
      <c r="Z27" s="495" t="s">
        <v>320</v>
      </c>
      <c r="AA27" s="495">
        <v>23</v>
      </c>
      <c r="AB27" s="495">
        <f t="shared" si="9"/>
        <v>276</v>
      </c>
      <c r="AC27" s="509">
        <v>1</v>
      </c>
      <c r="AD27" s="512" t="s">
        <v>374</v>
      </c>
      <c r="AE27" s="832">
        <f t="shared" si="10"/>
        <v>276</v>
      </c>
      <c r="AF27" s="489">
        <f t="shared" si="11"/>
        <v>65.688000000000002</v>
      </c>
      <c r="AG27" s="489"/>
      <c r="AH27" s="490">
        <v>12</v>
      </c>
      <c r="AI27" s="489">
        <f t="shared" si="14"/>
        <v>3.3451200000000001</v>
      </c>
      <c r="AJ27" s="491">
        <f t="shared" ref="AJ27:AJ31" si="25">(AE21)/100*0</f>
        <v>0</v>
      </c>
    </row>
    <row r="28" spans="1:36" ht="16.5" thickBot="1">
      <c r="A28" s="507" t="s">
        <v>101</v>
      </c>
      <c r="B28" s="508">
        <v>20738.878333333334</v>
      </c>
      <c r="C28" s="508">
        <v>21687.360000000001</v>
      </c>
      <c r="D28" s="508">
        <f t="shared" si="0"/>
        <v>948.48166666666657</v>
      </c>
      <c r="E28" s="509">
        <v>1</v>
      </c>
      <c r="F28" s="510" t="s">
        <v>375</v>
      </c>
      <c r="G28" s="511">
        <f t="shared" si="1"/>
        <v>948.48166666666657</v>
      </c>
      <c r="H28" s="489">
        <f t="shared" si="2"/>
        <v>225.73863666666665</v>
      </c>
      <c r="I28" s="489">
        <f t="shared" si="3"/>
        <v>27.316271999999994</v>
      </c>
      <c r="J28" s="490">
        <v>12</v>
      </c>
      <c r="K28" s="489">
        <f t="shared" si="4"/>
        <v>11.495597799999999</v>
      </c>
      <c r="L28" s="491">
        <f>(G23)/100*0</f>
        <v>0</v>
      </c>
      <c r="M28" s="526">
        <f t="shared" si="15"/>
        <v>20019.101538461538</v>
      </c>
      <c r="N28" s="511">
        <f t="shared" si="24"/>
        <v>151.84</v>
      </c>
      <c r="O28" s="511">
        <f t="shared" si="12"/>
        <v>151.84</v>
      </c>
      <c r="P28" s="511">
        <f t="shared" si="5"/>
        <v>11.68</v>
      </c>
      <c r="Q28" s="509">
        <v>1</v>
      </c>
      <c r="R28" s="512" t="s">
        <v>375</v>
      </c>
      <c r="S28" s="832">
        <f t="shared" si="6"/>
        <v>151.84</v>
      </c>
      <c r="T28" s="489">
        <f t="shared" si="7"/>
        <v>36.137920000000001</v>
      </c>
      <c r="U28" s="489">
        <f t="shared" si="8"/>
        <v>4.372992</v>
      </c>
      <c r="V28" s="490">
        <v>12</v>
      </c>
      <c r="W28" s="489">
        <f t="shared" si="13"/>
        <v>1.8403008000000001</v>
      </c>
      <c r="X28" s="491">
        <f>(S23)/100*0</f>
        <v>0</v>
      </c>
      <c r="Z28" s="495" t="s">
        <v>320</v>
      </c>
      <c r="AA28" s="495">
        <v>23</v>
      </c>
      <c r="AB28" s="495">
        <f t="shared" si="9"/>
        <v>276</v>
      </c>
      <c r="AC28" s="509">
        <v>1</v>
      </c>
      <c r="AD28" s="512" t="s">
        <v>375</v>
      </c>
      <c r="AE28" s="832">
        <f t="shared" si="10"/>
        <v>276</v>
      </c>
      <c r="AF28" s="489">
        <f t="shared" si="11"/>
        <v>65.688000000000002</v>
      </c>
      <c r="AG28" s="489"/>
      <c r="AH28" s="490">
        <v>12</v>
      </c>
      <c r="AI28" s="489">
        <f t="shared" si="14"/>
        <v>3.3451200000000001</v>
      </c>
      <c r="AJ28" s="491">
        <f t="shared" si="25"/>
        <v>0</v>
      </c>
    </row>
    <row r="29" spans="1:36" ht="16.5" thickBot="1">
      <c r="A29" s="507" t="s">
        <v>101</v>
      </c>
      <c r="B29" s="508">
        <v>20738.878333333334</v>
      </c>
      <c r="C29" s="508">
        <v>21687.360000000001</v>
      </c>
      <c r="D29" s="508">
        <f t="shared" si="0"/>
        <v>948.48166666666657</v>
      </c>
      <c r="E29" s="509">
        <v>1</v>
      </c>
      <c r="F29" s="510" t="s">
        <v>376</v>
      </c>
      <c r="G29" s="511">
        <f t="shared" si="1"/>
        <v>948.48166666666657</v>
      </c>
      <c r="H29" s="489">
        <f t="shared" si="2"/>
        <v>225.73863666666665</v>
      </c>
      <c r="I29" s="489">
        <f t="shared" si="3"/>
        <v>27.316271999999994</v>
      </c>
      <c r="J29" s="490">
        <v>12</v>
      </c>
      <c r="K29" s="489">
        <f t="shared" si="4"/>
        <v>11.495597799999999</v>
      </c>
      <c r="L29" s="491">
        <f>(G24)/100*0</f>
        <v>0</v>
      </c>
      <c r="M29" s="526">
        <f t="shared" si="15"/>
        <v>20019.101538461538</v>
      </c>
      <c r="N29" s="511">
        <f t="shared" si="24"/>
        <v>151.84</v>
      </c>
      <c r="O29" s="511">
        <f t="shared" si="12"/>
        <v>151.84</v>
      </c>
      <c r="P29" s="511">
        <f t="shared" si="5"/>
        <v>11.68</v>
      </c>
      <c r="Q29" s="509">
        <v>1</v>
      </c>
      <c r="R29" s="512" t="s">
        <v>376</v>
      </c>
      <c r="S29" s="832">
        <f t="shared" si="6"/>
        <v>151.84</v>
      </c>
      <c r="T29" s="489">
        <f t="shared" si="7"/>
        <v>36.137920000000001</v>
      </c>
      <c r="U29" s="489">
        <f t="shared" si="8"/>
        <v>4.372992</v>
      </c>
      <c r="V29" s="490">
        <v>12</v>
      </c>
      <c r="W29" s="489">
        <f t="shared" si="13"/>
        <v>1.8403008000000001</v>
      </c>
      <c r="X29" s="491">
        <f>(S24)/100*0</f>
        <v>0</v>
      </c>
      <c r="Z29" s="495" t="s">
        <v>320</v>
      </c>
      <c r="AA29" s="495">
        <v>23</v>
      </c>
      <c r="AB29" s="495">
        <f t="shared" si="9"/>
        <v>276</v>
      </c>
      <c r="AC29" s="509">
        <v>1</v>
      </c>
      <c r="AD29" s="512" t="s">
        <v>376</v>
      </c>
      <c r="AE29" s="832">
        <f t="shared" si="10"/>
        <v>276</v>
      </c>
      <c r="AF29" s="489">
        <f t="shared" si="11"/>
        <v>65.688000000000002</v>
      </c>
      <c r="AG29" s="489"/>
      <c r="AH29" s="490">
        <v>12</v>
      </c>
      <c r="AI29" s="489">
        <f t="shared" si="14"/>
        <v>3.3451200000000001</v>
      </c>
      <c r="AJ29" s="491">
        <f t="shared" si="25"/>
        <v>0</v>
      </c>
    </row>
    <row r="30" spans="1:36" ht="16.5" thickBot="1">
      <c r="A30" s="507" t="s">
        <v>101</v>
      </c>
      <c r="B30" s="508">
        <v>20738.878333333334</v>
      </c>
      <c r="C30" s="508">
        <v>21687.360000000001</v>
      </c>
      <c r="D30" s="508">
        <f t="shared" si="0"/>
        <v>948.48166666666657</v>
      </c>
      <c r="E30" s="509">
        <v>1</v>
      </c>
      <c r="F30" s="510" t="s">
        <v>377</v>
      </c>
      <c r="G30" s="511">
        <f t="shared" si="1"/>
        <v>948.48166666666657</v>
      </c>
      <c r="H30" s="489">
        <f t="shared" si="2"/>
        <v>225.73863666666665</v>
      </c>
      <c r="I30" s="489">
        <f t="shared" si="3"/>
        <v>27.316271999999994</v>
      </c>
      <c r="J30" s="490">
        <v>12</v>
      </c>
      <c r="K30" s="489">
        <f t="shared" si="4"/>
        <v>11.495597799999999</v>
      </c>
      <c r="L30" s="491">
        <f>(G25)/100*0</f>
        <v>0</v>
      </c>
      <c r="M30" s="526">
        <f t="shared" si="15"/>
        <v>20019.101538461538</v>
      </c>
      <c r="N30" s="511">
        <f t="shared" si="24"/>
        <v>151.84</v>
      </c>
      <c r="O30" s="511">
        <f t="shared" si="12"/>
        <v>151.84</v>
      </c>
      <c r="P30" s="511">
        <f t="shared" si="5"/>
        <v>11.68</v>
      </c>
      <c r="Q30" s="509">
        <v>1</v>
      </c>
      <c r="R30" s="512" t="s">
        <v>377</v>
      </c>
      <c r="S30" s="832">
        <f t="shared" si="6"/>
        <v>151.84</v>
      </c>
      <c r="T30" s="489">
        <f t="shared" si="7"/>
        <v>36.137920000000001</v>
      </c>
      <c r="U30" s="489">
        <f t="shared" si="8"/>
        <v>4.372992</v>
      </c>
      <c r="V30" s="490">
        <v>12</v>
      </c>
      <c r="W30" s="489">
        <f t="shared" si="13"/>
        <v>1.8403008000000001</v>
      </c>
      <c r="X30" s="491">
        <f>(S25)/100*0</f>
        <v>0</v>
      </c>
      <c r="Z30" s="495" t="s">
        <v>320</v>
      </c>
      <c r="AA30" s="495">
        <v>23</v>
      </c>
      <c r="AB30" s="495">
        <f t="shared" si="9"/>
        <v>276</v>
      </c>
      <c r="AC30" s="509">
        <v>1</v>
      </c>
      <c r="AD30" s="512" t="s">
        <v>377</v>
      </c>
      <c r="AE30" s="832">
        <f t="shared" si="10"/>
        <v>276</v>
      </c>
      <c r="AF30" s="489">
        <f t="shared" si="11"/>
        <v>65.688000000000002</v>
      </c>
      <c r="AG30" s="489"/>
      <c r="AH30" s="490">
        <v>12</v>
      </c>
      <c r="AI30" s="489">
        <f t="shared" si="14"/>
        <v>3.3451200000000001</v>
      </c>
      <c r="AJ30" s="491">
        <f t="shared" si="25"/>
        <v>0</v>
      </c>
    </row>
    <row r="31" spans="1:36" ht="16.5" thickBot="1">
      <c r="A31" s="507" t="s">
        <v>101</v>
      </c>
      <c r="B31" s="508">
        <v>20738.878333333334</v>
      </c>
      <c r="C31" s="508">
        <v>21687.360000000001</v>
      </c>
      <c r="D31" s="508">
        <f t="shared" si="0"/>
        <v>948.48166666666657</v>
      </c>
      <c r="E31" s="509">
        <v>1</v>
      </c>
      <c r="F31" s="510" t="s">
        <v>378</v>
      </c>
      <c r="G31" s="511">
        <f t="shared" si="1"/>
        <v>948.48166666666657</v>
      </c>
      <c r="H31" s="489">
        <f t="shared" si="2"/>
        <v>225.73863666666665</v>
      </c>
      <c r="I31" s="489">
        <f t="shared" si="3"/>
        <v>27.316271999999994</v>
      </c>
      <c r="J31" s="490">
        <v>12</v>
      </c>
      <c r="K31" s="489">
        <f t="shared" si="4"/>
        <v>11.495597799999999</v>
      </c>
      <c r="L31" s="491">
        <f>(G26)/100*0</f>
        <v>0</v>
      </c>
      <c r="M31" s="526">
        <f t="shared" si="15"/>
        <v>20019.101538461538</v>
      </c>
      <c r="N31" s="511">
        <f t="shared" si="24"/>
        <v>151.84</v>
      </c>
      <c r="O31" s="511">
        <f t="shared" si="12"/>
        <v>151.84</v>
      </c>
      <c r="P31" s="511">
        <f t="shared" si="5"/>
        <v>11.68</v>
      </c>
      <c r="Q31" s="509">
        <v>1</v>
      </c>
      <c r="R31" s="512" t="s">
        <v>378</v>
      </c>
      <c r="S31" s="832">
        <f t="shared" si="6"/>
        <v>151.84</v>
      </c>
      <c r="T31" s="489">
        <f t="shared" si="7"/>
        <v>36.137920000000001</v>
      </c>
      <c r="U31" s="489">
        <f t="shared" si="8"/>
        <v>4.372992</v>
      </c>
      <c r="V31" s="490">
        <v>12</v>
      </c>
      <c r="W31" s="489">
        <f t="shared" si="13"/>
        <v>1.8403008000000001</v>
      </c>
      <c r="X31" s="491">
        <f>(S26)/100*0</f>
        <v>0</v>
      </c>
      <c r="Z31" s="495" t="s">
        <v>320</v>
      </c>
      <c r="AA31" s="495">
        <v>23</v>
      </c>
      <c r="AB31" s="495">
        <f t="shared" si="9"/>
        <v>276</v>
      </c>
      <c r="AC31" s="509">
        <v>1</v>
      </c>
      <c r="AD31" s="512" t="s">
        <v>378</v>
      </c>
      <c r="AE31" s="832">
        <f t="shared" si="10"/>
        <v>276</v>
      </c>
      <c r="AF31" s="489">
        <f t="shared" si="11"/>
        <v>65.688000000000002</v>
      </c>
      <c r="AG31" s="489"/>
      <c r="AH31" s="490">
        <v>12</v>
      </c>
      <c r="AI31" s="489">
        <f t="shared" si="14"/>
        <v>3.3451200000000001</v>
      </c>
      <c r="AJ31" s="491">
        <f t="shared" si="25"/>
        <v>0</v>
      </c>
    </row>
    <row r="32" spans="1:36" ht="16.5" thickBot="1">
      <c r="A32" s="507" t="s">
        <v>101</v>
      </c>
      <c r="B32" s="508">
        <v>20738.878333333334</v>
      </c>
      <c r="C32" s="508">
        <v>21687.360000000001</v>
      </c>
      <c r="D32" s="508">
        <f t="shared" si="0"/>
        <v>948.48166666666657</v>
      </c>
      <c r="E32" s="509">
        <v>1</v>
      </c>
      <c r="F32" s="510" t="s">
        <v>379</v>
      </c>
      <c r="G32" s="511">
        <f t="shared" si="1"/>
        <v>948.48166666666657</v>
      </c>
      <c r="H32" s="489">
        <f t="shared" si="2"/>
        <v>225.73863666666665</v>
      </c>
      <c r="I32" s="489">
        <f t="shared" si="3"/>
        <v>27.316271999999994</v>
      </c>
      <c r="J32" s="490">
        <v>5</v>
      </c>
      <c r="K32" s="489">
        <f t="shared" si="4"/>
        <v>4.7898324166666661</v>
      </c>
      <c r="L32" s="489">
        <f t="shared" si="22"/>
        <v>80.620941666666653</v>
      </c>
      <c r="M32" s="526">
        <f t="shared" si="15"/>
        <v>20019.101538461538</v>
      </c>
      <c r="N32" s="511">
        <f t="shared" si="24"/>
        <v>151.84</v>
      </c>
      <c r="O32" s="511">
        <f t="shared" si="12"/>
        <v>151.84</v>
      </c>
      <c r="P32" s="511">
        <f t="shared" si="5"/>
        <v>11.68</v>
      </c>
      <c r="Q32" s="509">
        <v>1</v>
      </c>
      <c r="R32" s="512" t="s">
        <v>379</v>
      </c>
      <c r="S32" s="832">
        <f t="shared" si="6"/>
        <v>151.84</v>
      </c>
      <c r="T32" s="489">
        <f t="shared" si="7"/>
        <v>36.137920000000001</v>
      </c>
      <c r="U32" s="489">
        <f t="shared" si="8"/>
        <v>4.372992</v>
      </c>
      <c r="V32" s="490">
        <v>5</v>
      </c>
      <c r="W32" s="489">
        <f t="shared" si="13"/>
        <v>0.76679200000000003</v>
      </c>
      <c r="X32" s="489">
        <f t="shared" si="23"/>
        <v>12.9064</v>
      </c>
      <c r="Z32" s="495" t="s">
        <v>320</v>
      </c>
      <c r="AA32" s="495">
        <v>23</v>
      </c>
      <c r="AB32" s="495">
        <f t="shared" si="9"/>
        <v>276</v>
      </c>
      <c r="AC32" s="509">
        <v>1</v>
      </c>
      <c r="AD32" s="512" t="s">
        <v>379</v>
      </c>
      <c r="AE32" s="832">
        <f t="shared" si="10"/>
        <v>276</v>
      </c>
      <c r="AF32" s="489">
        <f t="shared" si="11"/>
        <v>65.688000000000002</v>
      </c>
      <c r="AG32" s="489"/>
      <c r="AH32" s="490">
        <v>5</v>
      </c>
      <c r="AI32" s="489">
        <f t="shared" si="14"/>
        <v>1.3938000000000001</v>
      </c>
      <c r="AJ32" s="489">
        <f t="shared" si="21"/>
        <v>23.459999999999997</v>
      </c>
    </row>
    <row r="33" spans="1:38" ht="16.5" thickBot="1">
      <c r="A33" s="507" t="s">
        <v>101</v>
      </c>
      <c r="B33" s="508">
        <v>20738.878333333334</v>
      </c>
      <c r="C33" s="508">
        <v>21687.360000000001</v>
      </c>
      <c r="D33" s="508">
        <f t="shared" si="0"/>
        <v>948.48166666666657</v>
      </c>
      <c r="E33" s="509">
        <v>1</v>
      </c>
      <c r="F33" s="510" t="s">
        <v>380</v>
      </c>
      <c r="G33" s="511">
        <f t="shared" si="1"/>
        <v>948.48166666666657</v>
      </c>
      <c r="H33" s="489">
        <f t="shared" si="2"/>
        <v>225.73863666666665</v>
      </c>
      <c r="I33" s="489">
        <f t="shared" si="3"/>
        <v>27.316271999999994</v>
      </c>
      <c r="J33" s="490">
        <v>5</v>
      </c>
      <c r="K33" s="489">
        <f t="shared" si="4"/>
        <v>4.7898324166666661</v>
      </c>
      <c r="L33" s="489">
        <f t="shared" si="22"/>
        <v>80.620941666666653</v>
      </c>
      <c r="M33" s="526">
        <f t="shared" si="15"/>
        <v>20019.101538461538</v>
      </c>
      <c r="N33" s="511">
        <f t="shared" si="24"/>
        <v>151.84</v>
      </c>
      <c r="O33" s="511">
        <f t="shared" si="12"/>
        <v>151.84</v>
      </c>
      <c r="P33" s="511">
        <f t="shared" si="5"/>
        <v>11.68</v>
      </c>
      <c r="Q33" s="509">
        <v>1</v>
      </c>
      <c r="R33" s="512" t="s">
        <v>380</v>
      </c>
      <c r="S33" s="832">
        <f t="shared" si="6"/>
        <v>151.84</v>
      </c>
      <c r="T33" s="489">
        <f t="shared" si="7"/>
        <v>36.137920000000001</v>
      </c>
      <c r="U33" s="489">
        <f t="shared" si="8"/>
        <v>4.372992</v>
      </c>
      <c r="V33" s="490">
        <v>5</v>
      </c>
      <c r="W33" s="489">
        <f t="shared" si="13"/>
        <v>0.76679200000000003</v>
      </c>
      <c r="X33" s="489">
        <f t="shared" si="23"/>
        <v>12.9064</v>
      </c>
      <c r="Z33" s="495" t="s">
        <v>320</v>
      </c>
      <c r="AA33" s="495">
        <v>23</v>
      </c>
      <c r="AB33" s="495">
        <f t="shared" si="9"/>
        <v>276</v>
      </c>
      <c r="AC33" s="509">
        <v>1</v>
      </c>
      <c r="AD33" s="512" t="s">
        <v>380</v>
      </c>
      <c r="AE33" s="832">
        <f t="shared" si="10"/>
        <v>276</v>
      </c>
      <c r="AF33" s="489">
        <f t="shared" si="11"/>
        <v>65.688000000000002</v>
      </c>
      <c r="AG33" s="489"/>
      <c r="AH33" s="490">
        <v>5</v>
      </c>
      <c r="AI33" s="489">
        <f t="shared" si="14"/>
        <v>1.3938000000000001</v>
      </c>
      <c r="AJ33" s="489">
        <f t="shared" si="21"/>
        <v>23.459999999999997</v>
      </c>
    </row>
    <row r="34" spans="1:38" ht="16.5" thickBot="1">
      <c r="A34" s="507" t="s">
        <v>101</v>
      </c>
      <c r="B34" s="508">
        <v>20738.878333333334</v>
      </c>
      <c r="C34" s="508">
        <v>21687.360000000001</v>
      </c>
      <c r="D34" s="508">
        <f t="shared" si="0"/>
        <v>948.48166666666657</v>
      </c>
      <c r="E34" s="514"/>
      <c r="F34" s="515" t="s">
        <v>381</v>
      </c>
      <c r="G34" s="511">
        <f t="shared" si="1"/>
        <v>0</v>
      </c>
      <c r="H34" s="489">
        <f t="shared" si="2"/>
        <v>0</v>
      </c>
      <c r="I34" s="489">
        <f t="shared" si="3"/>
        <v>0</v>
      </c>
      <c r="J34" s="490">
        <v>5</v>
      </c>
      <c r="K34" s="489">
        <f t="shared" si="4"/>
        <v>0</v>
      </c>
      <c r="L34" s="489">
        <f t="shared" si="22"/>
        <v>0</v>
      </c>
      <c r="M34" s="526">
        <f t="shared" si="15"/>
        <v>20019.101538461538</v>
      </c>
      <c r="N34" s="511">
        <f t="shared" si="24"/>
        <v>151.84</v>
      </c>
      <c r="O34" s="511">
        <f t="shared" si="12"/>
        <v>151.84</v>
      </c>
      <c r="P34" s="511">
        <f t="shared" si="5"/>
        <v>11.68</v>
      </c>
      <c r="Q34" s="514"/>
      <c r="R34" s="515" t="s">
        <v>381</v>
      </c>
      <c r="S34" s="832">
        <f t="shared" si="6"/>
        <v>0</v>
      </c>
      <c r="T34" s="489">
        <f t="shared" si="7"/>
        <v>0</v>
      </c>
      <c r="U34" s="489">
        <f t="shared" si="8"/>
        <v>0</v>
      </c>
      <c r="V34" s="490">
        <v>5</v>
      </c>
      <c r="W34" s="489">
        <f t="shared" si="13"/>
        <v>0</v>
      </c>
      <c r="X34" s="489">
        <f t="shared" si="23"/>
        <v>0</v>
      </c>
      <c r="Z34" s="495" t="s">
        <v>320</v>
      </c>
      <c r="AA34" s="495">
        <v>23</v>
      </c>
      <c r="AB34" s="495">
        <f t="shared" si="9"/>
        <v>276</v>
      </c>
      <c r="AC34" s="509"/>
      <c r="AD34" s="515" t="s">
        <v>381</v>
      </c>
      <c r="AE34" s="527">
        <f t="shared" si="10"/>
        <v>0</v>
      </c>
      <c r="AF34" s="489">
        <f t="shared" si="11"/>
        <v>0</v>
      </c>
      <c r="AG34" s="489"/>
      <c r="AH34" s="490">
        <v>5</v>
      </c>
      <c r="AI34" s="489">
        <f t="shared" si="14"/>
        <v>0</v>
      </c>
      <c r="AJ34" s="489">
        <f t="shared" si="21"/>
        <v>0</v>
      </c>
      <c r="AL34" s="542" t="s">
        <v>475</v>
      </c>
    </row>
    <row r="35" spans="1:38" ht="16.5" thickBot="1">
      <c r="A35" s="507" t="s">
        <v>101</v>
      </c>
      <c r="B35" s="508">
        <v>20738.878333333334</v>
      </c>
      <c r="C35" s="508">
        <v>21687.360000000001</v>
      </c>
      <c r="D35" s="508">
        <f t="shared" si="0"/>
        <v>948.48166666666657</v>
      </c>
      <c r="E35" s="509">
        <v>0.5</v>
      </c>
      <c r="F35" s="510" t="s">
        <v>382</v>
      </c>
      <c r="G35" s="511">
        <f t="shared" si="1"/>
        <v>474.24083333333328</v>
      </c>
      <c r="H35" s="489">
        <f t="shared" si="2"/>
        <v>112.86931833333333</v>
      </c>
      <c r="I35" s="489">
        <f t="shared" si="3"/>
        <v>13.658135999999997</v>
      </c>
      <c r="J35" s="490">
        <v>5</v>
      </c>
      <c r="K35" s="489">
        <f t="shared" si="4"/>
        <v>2.3949162083333331</v>
      </c>
      <c r="L35" s="489">
        <f t="shared" si="22"/>
        <v>40.310470833333326</v>
      </c>
      <c r="M35" s="526">
        <f t="shared" si="15"/>
        <v>20019.101538461538</v>
      </c>
      <c r="N35" s="511">
        <f t="shared" si="24"/>
        <v>151.84</v>
      </c>
      <c r="O35" s="511">
        <f t="shared" si="12"/>
        <v>151.84</v>
      </c>
      <c r="P35" s="511">
        <f t="shared" si="5"/>
        <v>11.68</v>
      </c>
      <c r="Q35" s="509">
        <v>0.5</v>
      </c>
      <c r="R35" s="512" t="s">
        <v>382</v>
      </c>
      <c r="S35" s="832">
        <f t="shared" si="6"/>
        <v>75.92</v>
      </c>
      <c r="T35" s="489">
        <f t="shared" si="7"/>
        <v>18.068960000000001</v>
      </c>
      <c r="U35" s="489">
        <f t="shared" si="8"/>
        <v>2.186496</v>
      </c>
      <c r="V35" s="490">
        <v>5</v>
      </c>
      <c r="W35" s="489">
        <f t="shared" si="13"/>
        <v>0.38339600000000001</v>
      </c>
      <c r="X35" s="489">
        <f t="shared" si="23"/>
        <v>6.4531999999999998</v>
      </c>
      <c r="Z35" s="495" t="s">
        <v>320</v>
      </c>
      <c r="AA35" s="495">
        <v>23</v>
      </c>
      <c r="AB35" s="495">
        <f t="shared" si="9"/>
        <v>276</v>
      </c>
      <c r="AC35" s="509">
        <v>0.5</v>
      </c>
      <c r="AD35" s="512" t="s">
        <v>382</v>
      </c>
      <c r="AE35" s="832">
        <f t="shared" si="10"/>
        <v>138</v>
      </c>
      <c r="AF35" s="489">
        <f t="shared" si="11"/>
        <v>32.844000000000001</v>
      </c>
      <c r="AG35" s="489"/>
      <c r="AH35" s="490">
        <v>5</v>
      </c>
      <c r="AI35" s="489">
        <f t="shared" si="14"/>
        <v>0.69690000000000007</v>
      </c>
      <c r="AJ35" s="489">
        <f t="shared" si="21"/>
        <v>11.729999999999999</v>
      </c>
    </row>
    <row r="36" spans="1:38" ht="16.5" thickBot="1">
      <c r="A36" s="507" t="s">
        <v>101</v>
      </c>
      <c r="B36" s="508">
        <v>20738.878333333334</v>
      </c>
      <c r="C36" s="508">
        <v>21687.360000000001</v>
      </c>
      <c r="D36" s="508">
        <f t="shared" si="0"/>
        <v>948.48166666666657</v>
      </c>
      <c r="E36" s="509">
        <v>1</v>
      </c>
      <c r="F36" s="510" t="s">
        <v>383</v>
      </c>
      <c r="G36" s="511">
        <f t="shared" si="1"/>
        <v>948.48166666666657</v>
      </c>
      <c r="H36" s="489">
        <f t="shared" si="2"/>
        <v>225.73863666666665</v>
      </c>
      <c r="I36" s="489">
        <f t="shared" si="3"/>
        <v>27.316271999999994</v>
      </c>
      <c r="J36" s="490">
        <v>5</v>
      </c>
      <c r="K36" s="489">
        <f t="shared" si="4"/>
        <v>4.7898324166666661</v>
      </c>
      <c r="L36" s="489">
        <f t="shared" si="22"/>
        <v>80.620941666666653</v>
      </c>
      <c r="M36" s="526">
        <f t="shared" si="15"/>
        <v>20019.101538461538</v>
      </c>
      <c r="N36" s="511">
        <f t="shared" si="24"/>
        <v>151.84</v>
      </c>
      <c r="O36" s="511">
        <f t="shared" si="12"/>
        <v>151.84</v>
      </c>
      <c r="P36" s="511">
        <f t="shared" si="5"/>
        <v>11.68</v>
      </c>
      <c r="Q36" s="509">
        <v>1</v>
      </c>
      <c r="R36" s="512" t="s">
        <v>383</v>
      </c>
      <c r="S36" s="832">
        <f t="shared" si="6"/>
        <v>151.84</v>
      </c>
      <c r="T36" s="489">
        <f t="shared" si="7"/>
        <v>36.137920000000001</v>
      </c>
      <c r="U36" s="489">
        <f t="shared" si="8"/>
        <v>4.372992</v>
      </c>
      <c r="V36" s="490">
        <v>5</v>
      </c>
      <c r="W36" s="489">
        <f t="shared" si="13"/>
        <v>0.76679200000000003</v>
      </c>
      <c r="X36" s="489">
        <f t="shared" si="23"/>
        <v>12.9064</v>
      </c>
      <c r="Z36" s="495" t="s">
        <v>320</v>
      </c>
      <c r="AA36" s="495">
        <v>23</v>
      </c>
      <c r="AB36" s="495">
        <f t="shared" si="9"/>
        <v>276</v>
      </c>
      <c r="AC36" s="509">
        <v>1</v>
      </c>
      <c r="AD36" s="512" t="s">
        <v>383</v>
      </c>
      <c r="AE36" s="832">
        <f t="shared" si="10"/>
        <v>276</v>
      </c>
      <c r="AF36" s="489">
        <f t="shared" si="11"/>
        <v>65.688000000000002</v>
      </c>
      <c r="AG36" s="489"/>
      <c r="AH36" s="490">
        <v>5</v>
      </c>
      <c r="AI36" s="489">
        <f t="shared" si="14"/>
        <v>1.3938000000000001</v>
      </c>
      <c r="AJ36" s="489">
        <f t="shared" si="21"/>
        <v>23.459999999999997</v>
      </c>
    </row>
    <row r="37" spans="1:38" ht="16.5" thickBot="1">
      <c r="A37" s="507" t="s">
        <v>101</v>
      </c>
      <c r="B37" s="508">
        <v>20738.878333333334</v>
      </c>
      <c r="C37" s="508">
        <v>21687.360000000001</v>
      </c>
      <c r="D37" s="508">
        <f t="shared" si="0"/>
        <v>948.48166666666657</v>
      </c>
      <c r="E37" s="509">
        <v>0.5</v>
      </c>
      <c r="F37" s="510" t="s">
        <v>384</v>
      </c>
      <c r="G37" s="511">
        <f t="shared" si="1"/>
        <v>474.24083333333328</v>
      </c>
      <c r="H37" s="489">
        <f t="shared" si="2"/>
        <v>112.86931833333333</v>
      </c>
      <c r="I37" s="489">
        <f t="shared" si="3"/>
        <v>13.658135999999997</v>
      </c>
      <c r="J37" s="490">
        <v>5</v>
      </c>
      <c r="K37" s="489">
        <f t="shared" si="4"/>
        <v>2.3949162083333331</v>
      </c>
      <c r="L37" s="489">
        <f t="shared" si="22"/>
        <v>40.310470833333326</v>
      </c>
      <c r="M37" s="526">
        <f t="shared" si="15"/>
        <v>20019.101538461538</v>
      </c>
      <c r="N37" s="511">
        <f t="shared" si="24"/>
        <v>151.84</v>
      </c>
      <c r="O37" s="511">
        <f t="shared" si="12"/>
        <v>151.84</v>
      </c>
      <c r="P37" s="511">
        <f t="shared" si="5"/>
        <v>11.68</v>
      </c>
      <c r="Q37" s="509">
        <v>0.5</v>
      </c>
      <c r="R37" s="512" t="s">
        <v>384</v>
      </c>
      <c r="S37" s="832">
        <f t="shared" si="6"/>
        <v>75.92</v>
      </c>
      <c r="T37" s="489">
        <f t="shared" si="7"/>
        <v>18.068960000000001</v>
      </c>
      <c r="U37" s="489">
        <f t="shared" si="8"/>
        <v>2.186496</v>
      </c>
      <c r="V37" s="490">
        <v>5</v>
      </c>
      <c r="W37" s="489">
        <f>((S37/1000)*V37)+((S37/1000)*V37)*1%</f>
        <v>0.38339600000000001</v>
      </c>
      <c r="X37" s="489">
        <f t="shared" si="23"/>
        <v>6.4531999999999998</v>
      </c>
      <c r="Z37" s="495" t="s">
        <v>320</v>
      </c>
      <c r="AA37" s="495">
        <v>23</v>
      </c>
      <c r="AB37" s="495">
        <f t="shared" si="9"/>
        <v>276</v>
      </c>
      <c r="AC37" s="509">
        <v>0.5</v>
      </c>
      <c r="AD37" s="512" t="s">
        <v>384</v>
      </c>
      <c r="AE37" s="832">
        <f t="shared" si="10"/>
        <v>138</v>
      </c>
      <c r="AF37" s="489">
        <f t="shared" si="11"/>
        <v>32.844000000000001</v>
      </c>
      <c r="AG37" s="489"/>
      <c r="AH37" s="490">
        <v>5</v>
      </c>
      <c r="AI37" s="489">
        <f>((AE37/1000)*AH37)+((AE37/1000)*AH37)*1%</f>
        <v>0.69690000000000007</v>
      </c>
      <c r="AJ37" s="489">
        <f t="shared" si="21"/>
        <v>11.729999999999999</v>
      </c>
    </row>
    <row r="38" spans="1:38" ht="16.5" thickBot="1">
      <c r="A38" s="507" t="s">
        <v>101</v>
      </c>
      <c r="B38" s="508">
        <v>20738.878333333334</v>
      </c>
      <c r="C38" s="508">
        <v>21687.360000000001</v>
      </c>
      <c r="D38" s="508">
        <f t="shared" si="0"/>
        <v>948.48166666666657</v>
      </c>
      <c r="E38" s="540"/>
      <c r="F38" s="510"/>
      <c r="G38" s="511">
        <f t="shared" si="1"/>
        <v>0</v>
      </c>
      <c r="H38" s="489">
        <f t="shared" si="2"/>
        <v>0</v>
      </c>
      <c r="I38" s="489">
        <f t="shared" si="3"/>
        <v>0</v>
      </c>
      <c r="J38" s="490">
        <v>5</v>
      </c>
      <c r="K38" s="489">
        <f t="shared" si="4"/>
        <v>0</v>
      </c>
      <c r="L38" s="489">
        <f t="shared" si="22"/>
        <v>0</v>
      </c>
      <c r="M38" s="526">
        <f t="shared" si="15"/>
        <v>20019.101538461538</v>
      </c>
      <c r="N38" s="511">
        <f t="shared" si="24"/>
        <v>151.84</v>
      </c>
      <c r="O38" s="511">
        <f t="shared" si="12"/>
        <v>151.84</v>
      </c>
      <c r="P38" s="511">
        <f t="shared" si="5"/>
        <v>11.68</v>
      </c>
      <c r="Q38" s="509"/>
      <c r="R38" s="512"/>
      <c r="S38" s="832">
        <f t="shared" si="6"/>
        <v>0</v>
      </c>
      <c r="T38" s="489">
        <f t="shared" si="7"/>
        <v>0</v>
      </c>
      <c r="U38" s="489">
        <f t="shared" si="8"/>
        <v>0</v>
      </c>
      <c r="V38" s="490">
        <v>5</v>
      </c>
      <c r="W38" s="489">
        <f>((S38/1000)*V38)+((S38/1000)*V38)*1%</f>
        <v>0</v>
      </c>
      <c r="X38" s="489">
        <f t="shared" si="23"/>
        <v>0</v>
      </c>
      <c r="Z38" s="495" t="s">
        <v>320</v>
      </c>
      <c r="AA38" s="495">
        <v>23</v>
      </c>
      <c r="AB38" s="495">
        <f t="shared" si="9"/>
        <v>276</v>
      </c>
      <c r="AC38" s="540"/>
      <c r="AD38" s="512"/>
      <c r="AE38" s="832">
        <f t="shared" si="10"/>
        <v>0</v>
      </c>
      <c r="AF38" s="489">
        <f t="shared" si="11"/>
        <v>0</v>
      </c>
      <c r="AG38" s="489"/>
      <c r="AH38" s="490">
        <v>5</v>
      </c>
      <c r="AI38" s="489">
        <f>((AE38/1000)*AH38)+((AE38/1000)*AH38)*1%</f>
        <v>0</v>
      </c>
      <c r="AJ38" s="489">
        <f t="shared" si="21"/>
        <v>0</v>
      </c>
    </row>
    <row r="39" spans="1:38" ht="16.5" thickBot="1">
      <c r="A39" s="507" t="s">
        <v>116</v>
      </c>
      <c r="B39" s="508">
        <v>21534.933333333334</v>
      </c>
      <c r="C39" s="508">
        <v>22520.59</v>
      </c>
      <c r="D39" s="508">
        <f t="shared" si="0"/>
        <v>985.65666666666584</v>
      </c>
      <c r="E39" s="509">
        <v>1</v>
      </c>
      <c r="F39" s="510" t="s">
        <v>386</v>
      </c>
      <c r="G39" s="511">
        <f t="shared" si="1"/>
        <v>985.65666666666584</v>
      </c>
      <c r="H39" s="489">
        <f t="shared" si="2"/>
        <v>234.5862866666665</v>
      </c>
      <c r="I39" s="489">
        <f t="shared" si="3"/>
        <v>28.386911999999977</v>
      </c>
      <c r="J39" s="490">
        <v>5</v>
      </c>
      <c r="K39" s="489">
        <f t="shared" si="4"/>
        <v>4.9775661666666631</v>
      </c>
      <c r="L39" s="489">
        <f t="shared" si="22"/>
        <v>83.780816666666595</v>
      </c>
      <c r="M39" s="526">
        <f t="shared" si="15"/>
        <v>20788.236923076925</v>
      </c>
      <c r="N39" s="511">
        <f>12.13*13</f>
        <v>157.69</v>
      </c>
      <c r="O39" s="511">
        <f t="shared" si="12"/>
        <v>157.69</v>
      </c>
      <c r="P39" s="511">
        <f t="shared" si="5"/>
        <v>12.129999999999999</v>
      </c>
      <c r="Q39" s="509">
        <v>1</v>
      </c>
      <c r="R39" s="512" t="s">
        <v>386</v>
      </c>
      <c r="S39" s="832">
        <f t="shared" si="6"/>
        <v>157.69</v>
      </c>
      <c r="T39" s="489">
        <f t="shared" si="7"/>
        <v>37.53022</v>
      </c>
      <c r="U39" s="489">
        <f t="shared" si="8"/>
        <v>4.5414719999999997</v>
      </c>
      <c r="V39" s="490">
        <v>5</v>
      </c>
      <c r="W39" s="489">
        <f t="shared" si="13"/>
        <v>0.79633449999999995</v>
      </c>
      <c r="X39" s="489">
        <f t="shared" si="23"/>
        <v>13.403649999999999</v>
      </c>
      <c r="Z39" s="495" t="s">
        <v>322</v>
      </c>
      <c r="AA39" s="495">
        <v>22</v>
      </c>
      <c r="AB39" s="495">
        <f t="shared" si="9"/>
        <v>264</v>
      </c>
      <c r="AC39" s="509">
        <v>1</v>
      </c>
      <c r="AD39" s="512" t="s">
        <v>386</v>
      </c>
      <c r="AE39" s="832">
        <f t="shared" si="10"/>
        <v>264</v>
      </c>
      <c r="AF39" s="489">
        <f t="shared" si="11"/>
        <v>62.832000000000008</v>
      </c>
      <c r="AG39" s="489"/>
      <c r="AH39" s="490">
        <v>5</v>
      </c>
      <c r="AI39" s="489">
        <f t="shared" si="14"/>
        <v>1.3332000000000002</v>
      </c>
      <c r="AJ39" s="489">
        <f t="shared" si="21"/>
        <v>22.44</v>
      </c>
    </row>
    <row r="40" spans="1:38" ht="16.5" thickBot="1">
      <c r="A40" s="507" t="s">
        <v>116</v>
      </c>
      <c r="B40" s="508">
        <v>21534.933333333334</v>
      </c>
      <c r="C40" s="508">
        <v>22520.59</v>
      </c>
      <c r="D40" s="508">
        <f t="shared" si="0"/>
        <v>985.65666666666584</v>
      </c>
      <c r="E40" s="509">
        <v>1</v>
      </c>
      <c r="F40" s="510" t="s">
        <v>387</v>
      </c>
      <c r="G40" s="511">
        <f t="shared" si="1"/>
        <v>985.65666666666584</v>
      </c>
      <c r="H40" s="489">
        <f t="shared" si="2"/>
        <v>234.5862866666665</v>
      </c>
      <c r="I40" s="489">
        <f t="shared" si="3"/>
        <v>28.386911999999977</v>
      </c>
      <c r="J40" s="490">
        <v>5</v>
      </c>
      <c r="K40" s="489">
        <f t="shared" si="4"/>
        <v>4.9775661666666631</v>
      </c>
      <c r="L40" s="489">
        <f t="shared" si="22"/>
        <v>83.780816666666595</v>
      </c>
      <c r="M40" s="526">
        <f t="shared" si="15"/>
        <v>20788.236923076925</v>
      </c>
      <c r="N40" s="511">
        <f>12.13*13</f>
        <v>157.69</v>
      </c>
      <c r="O40" s="511">
        <f t="shared" si="12"/>
        <v>157.69</v>
      </c>
      <c r="P40" s="511">
        <f t="shared" si="5"/>
        <v>12.129999999999999</v>
      </c>
      <c r="Q40" s="509">
        <v>1</v>
      </c>
      <c r="R40" s="512" t="s">
        <v>387</v>
      </c>
      <c r="S40" s="832">
        <f t="shared" si="6"/>
        <v>157.69</v>
      </c>
      <c r="T40" s="489">
        <f t="shared" si="7"/>
        <v>37.53022</v>
      </c>
      <c r="U40" s="489">
        <f t="shared" si="8"/>
        <v>4.5414719999999997</v>
      </c>
      <c r="V40" s="490">
        <v>5</v>
      </c>
      <c r="W40" s="489">
        <f>((S40/1000)*V40)+((S40/1000)*V40)*1%</f>
        <v>0.79633449999999995</v>
      </c>
      <c r="X40" s="489">
        <f t="shared" si="23"/>
        <v>13.403649999999999</v>
      </c>
      <c r="Z40" s="495" t="s">
        <v>322</v>
      </c>
      <c r="AA40" s="495">
        <v>22</v>
      </c>
      <c r="AB40" s="495">
        <f t="shared" si="9"/>
        <v>264</v>
      </c>
      <c r="AC40" s="509">
        <v>1</v>
      </c>
      <c r="AD40" s="512" t="s">
        <v>387</v>
      </c>
      <c r="AE40" s="832">
        <f t="shared" si="10"/>
        <v>264</v>
      </c>
      <c r="AF40" s="489">
        <f t="shared" si="11"/>
        <v>62.832000000000008</v>
      </c>
      <c r="AG40" s="489"/>
      <c r="AH40" s="490">
        <v>5</v>
      </c>
      <c r="AI40" s="489">
        <f>((AE40/1000)*AH40)+((AE40/1000)*AH40)*1%</f>
        <v>1.3332000000000002</v>
      </c>
      <c r="AJ40" s="489">
        <f t="shared" si="21"/>
        <v>22.44</v>
      </c>
    </row>
    <row r="41" spans="1:38" ht="16.5" thickBot="1">
      <c r="A41" s="507" t="s">
        <v>2</v>
      </c>
      <c r="B41" s="508">
        <v>21075.32916666667</v>
      </c>
      <c r="C41" s="508">
        <v>22039.41</v>
      </c>
      <c r="D41" s="508">
        <f t="shared" si="0"/>
        <v>964.08083333332979</v>
      </c>
      <c r="E41" s="509">
        <v>1</v>
      </c>
      <c r="F41" s="512" t="s">
        <v>388</v>
      </c>
      <c r="G41" s="511">
        <f t="shared" si="1"/>
        <v>964.08083333332979</v>
      </c>
      <c r="H41" s="489">
        <f t="shared" si="2"/>
        <v>229.45123833333253</v>
      </c>
      <c r="I41" s="489">
        <f t="shared" si="3"/>
        <v>27.7655279999999</v>
      </c>
      <c r="J41" s="490">
        <v>5</v>
      </c>
      <c r="K41" s="489">
        <f t="shared" si="4"/>
        <v>4.868608208333316</v>
      </c>
      <c r="L41" s="489">
        <f t="shared" si="22"/>
        <v>81.946870833333037</v>
      </c>
      <c r="M41" s="526">
        <f t="shared" si="15"/>
        <v>20344.07076923077</v>
      </c>
      <c r="N41" s="511">
        <f>11.87*13</f>
        <v>154.31</v>
      </c>
      <c r="O41" s="511">
        <f t="shared" si="12"/>
        <v>154.31</v>
      </c>
      <c r="P41" s="511">
        <f t="shared" si="5"/>
        <v>11.870000000000001</v>
      </c>
      <c r="Q41" s="509">
        <v>1</v>
      </c>
      <c r="R41" s="512" t="s">
        <v>388</v>
      </c>
      <c r="S41" s="832">
        <f t="shared" si="6"/>
        <v>154.31</v>
      </c>
      <c r="T41" s="489">
        <f t="shared" si="7"/>
        <v>36.72578</v>
      </c>
      <c r="U41" s="489">
        <f t="shared" si="8"/>
        <v>4.4441279999999992</v>
      </c>
      <c r="V41" s="490">
        <v>5</v>
      </c>
      <c r="W41" s="489">
        <f t="shared" si="13"/>
        <v>0.77926549999999994</v>
      </c>
      <c r="X41" s="489">
        <f t="shared" si="23"/>
        <v>13.116349999999999</v>
      </c>
      <c r="Z41" s="495" t="s">
        <v>2</v>
      </c>
      <c r="AA41" s="495">
        <v>23</v>
      </c>
      <c r="AB41" s="495">
        <f t="shared" si="9"/>
        <v>276</v>
      </c>
      <c r="AC41" s="509">
        <v>1</v>
      </c>
      <c r="AD41" s="512" t="s">
        <v>388</v>
      </c>
      <c r="AE41" s="832">
        <f t="shared" si="10"/>
        <v>276</v>
      </c>
      <c r="AF41" s="489">
        <f t="shared" si="11"/>
        <v>65.688000000000002</v>
      </c>
      <c r="AG41" s="489"/>
      <c r="AH41" s="490">
        <v>5</v>
      </c>
      <c r="AI41" s="489">
        <f t="shared" si="14"/>
        <v>1.3938000000000001</v>
      </c>
      <c r="AJ41" s="489">
        <f t="shared" si="21"/>
        <v>23.459999999999997</v>
      </c>
    </row>
    <row r="42" spans="1:38" ht="16.5" thickBot="1">
      <c r="A42" s="507" t="s">
        <v>2</v>
      </c>
      <c r="B42" s="508">
        <v>21075.32916666667</v>
      </c>
      <c r="C42" s="508">
        <v>22039.41</v>
      </c>
      <c r="D42" s="508">
        <f t="shared" si="0"/>
        <v>964.08083333332979</v>
      </c>
      <c r="E42" s="509">
        <v>1</v>
      </c>
      <c r="F42" s="512" t="s">
        <v>389</v>
      </c>
      <c r="G42" s="511">
        <f t="shared" si="1"/>
        <v>964.08083333332979</v>
      </c>
      <c r="H42" s="489">
        <f t="shared" si="2"/>
        <v>229.45123833333253</v>
      </c>
      <c r="I42" s="489">
        <f t="shared" si="3"/>
        <v>27.7655279999999</v>
      </c>
      <c r="J42" s="490">
        <v>9</v>
      </c>
      <c r="K42" s="489">
        <f t="shared" si="4"/>
        <v>8.7634947749999679</v>
      </c>
      <c r="L42" s="489">
        <f t="shared" si="22"/>
        <v>81.946870833333037</v>
      </c>
      <c r="M42" s="526">
        <f t="shared" si="15"/>
        <v>20344.07076923077</v>
      </c>
      <c r="N42" s="511">
        <f t="shared" ref="N42:N59" si="26">11.87*13</f>
        <v>154.31</v>
      </c>
      <c r="O42" s="511">
        <f t="shared" si="12"/>
        <v>154.31</v>
      </c>
      <c r="P42" s="511">
        <f t="shared" si="5"/>
        <v>11.870000000000001</v>
      </c>
      <c r="Q42" s="509">
        <v>1</v>
      </c>
      <c r="R42" s="512" t="s">
        <v>389</v>
      </c>
      <c r="S42" s="832">
        <f t="shared" si="6"/>
        <v>154.31</v>
      </c>
      <c r="T42" s="489">
        <f t="shared" si="7"/>
        <v>36.72578</v>
      </c>
      <c r="U42" s="489">
        <f t="shared" si="8"/>
        <v>4.4441279999999992</v>
      </c>
      <c r="V42" s="490">
        <v>9</v>
      </c>
      <c r="W42" s="489">
        <f t="shared" si="13"/>
        <v>1.4026779</v>
      </c>
      <c r="X42" s="489">
        <f t="shared" si="23"/>
        <v>13.116349999999999</v>
      </c>
      <c r="Z42" s="495" t="s">
        <v>2</v>
      </c>
      <c r="AA42" s="495">
        <v>23</v>
      </c>
      <c r="AB42" s="495">
        <f t="shared" si="9"/>
        <v>276</v>
      </c>
      <c r="AC42" s="509">
        <v>1</v>
      </c>
      <c r="AD42" s="512" t="s">
        <v>389</v>
      </c>
      <c r="AE42" s="832">
        <f t="shared" si="10"/>
        <v>276</v>
      </c>
      <c r="AF42" s="489">
        <f t="shared" si="11"/>
        <v>65.688000000000002</v>
      </c>
      <c r="AG42" s="489"/>
      <c r="AH42" s="490">
        <v>9</v>
      </c>
      <c r="AI42" s="489">
        <f t="shared" si="14"/>
        <v>2.5088400000000002</v>
      </c>
      <c r="AJ42" s="489">
        <f t="shared" si="21"/>
        <v>23.459999999999997</v>
      </c>
    </row>
    <row r="43" spans="1:38" ht="16.5" thickBot="1">
      <c r="A43" s="507" t="s">
        <v>2</v>
      </c>
      <c r="B43" s="508">
        <v>21075.32916666667</v>
      </c>
      <c r="C43" s="508">
        <v>22039.41</v>
      </c>
      <c r="D43" s="508">
        <f t="shared" si="0"/>
        <v>964.08083333332979</v>
      </c>
      <c r="E43" s="509"/>
      <c r="F43" s="512"/>
      <c r="G43" s="511">
        <f t="shared" si="1"/>
        <v>0</v>
      </c>
      <c r="H43" s="489">
        <f t="shared" si="2"/>
        <v>0</v>
      </c>
      <c r="I43" s="489">
        <f t="shared" si="3"/>
        <v>0</v>
      </c>
      <c r="J43" s="490">
        <v>5</v>
      </c>
      <c r="K43" s="489">
        <f t="shared" si="4"/>
        <v>0</v>
      </c>
      <c r="L43" s="489">
        <f t="shared" si="22"/>
        <v>0</v>
      </c>
      <c r="M43" s="526">
        <f t="shared" si="15"/>
        <v>20344.07076923077</v>
      </c>
      <c r="N43" s="511">
        <f t="shared" si="26"/>
        <v>154.31</v>
      </c>
      <c r="O43" s="511">
        <f t="shared" si="12"/>
        <v>154.31</v>
      </c>
      <c r="P43" s="511">
        <f t="shared" si="5"/>
        <v>11.870000000000001</v>
      </c>
      <c r="Q43" s="509"/>
      <c r="R43" s="512"/>
      <c r="S43" s="832">
        <f t="shared" si="6"/>
        <v>0</v>
      </c>
      <c r="T43" s="489">
        <f t="shared" si="7"/>
        <v>0</v>
      </c>
      <c r="U43" s="489">
        <f t="shared" si="8"/>
        <v>0</v>
      </c>
      <c r="V43" s="490">
        <v>5</v>
      </c>
      <c r="W43" s="489">
        <f t="shared" si="13"/>
        <v>0</v>
      </c>
      <c r="X43" s="489">
        <f t="shared" si="23"/>
        <v>0</v>
      </c>
      <c r="Z43" s="495" t="s">
        <v>2</v>
      </c>
      <c r="AA43" s="495">
        <v>23</v>
      </c>
      <c r="AB43" s="495">
        <f t="shared" si="9"/>
        <v>276</v>
      </c>
      <c r="AC43" s="509"/>
      <c r="AD43" s="512"/>
      <c r="AE43" s="832">
        <f t="shared" si="10"/>
        <v>0</v>
      </c>
      <c r="AF43" s="489">
        <f t="shared" si="11"/>
        <v>0</v>
      </c>
      <c r="AG43" s="489"/>
      <c r="AH43" s="490">
        <v>5</v>
      </c>
      <c r="AI43" s="489">
        <f t="shared" si="14"/>
        <v>0</v>
      </c>
      <c r="AJ43" s="489">
        <f t="shared" si="21"/>
        <v>0</v>
      </c>
    </row>
    <row r="44" spans="1:38" ht="16.5" thickBot="1">
      <c r="A44" s="507" t="s">
        <v>2</v>
      </c>
      <c r="B44" s="508">
        <v>21075.32916666667</v>
      </c>
      <c r="C44" s="508">
        <v>22039.41</v>
      </c>
      <c r="D44" s="508">
        <f t="shared" si="0"/>
        <v>964.08083333332979</v>
      </c>
      <c r="E44" s="509"/>
      <c r="F44" s="515" t="s">
        <v>390</v>
      </c>
      <c r="G44" s="511">
        <f t="shared" si="1"/>
        <v>0</v>
      </c>
      <c r="H44" s="489">
        <f t="shared" si="2"/>
        <v>0</v>
      </c>
      <c r="I44" s="489">
        <f t="shared" si="3"/>
        <v>0</v>
      </c>
      <c r="J44" s="490"/>
      <c r="K44" s="489">
        <f t="shared" si="4"/>
        <v>0</v>
      </c>
      <c r="L44" s="489">
        <f t="shared" si="22"/>
        <v>0</v>
      </c>
      <c r="M44" s="526">
        <f t="shared" si="15"/>
        <v>20344.07076923077</v>
      </c>
      <c r="N44" s="511">
        <f t="shared" si="26"/>
        <v>154.31</v>
      </c>
      <c r="O44" s="511">
        <f t="shared" si="12"/>
        <v>154.31</v>
      </c>
      <c r="P44" s="511">
        <f t="shared" si="5"/>
        <v>11.870000000000001</v>
      </c>
      <c r="Q44" s="509"/>
      <c r="R44" s="515" t="s">
        <v>390</v>
      </c>
      <c r="S44" s="516">
        <f t="shared" si="6"/>
        <v>0</v>
      </c>
      <c r="T44" s="489">
        <f t="shared" si="7"/>
        <v>0</v>
      </c>
      <c r="U44" s="489">
        <f t="shared" si="8"/>
        <v>0</v>
      </c>
      <c r="V44" s="490"/>
      <c r="W44" s="489">
        <f t="shared" si="13"/>
        <v>0</v>
      </c>
      <c r="X44" s="489">
        <f t="shared" si="23"/>
        <v>0</v>
      </c>
      <c r="Z44" s="495" t="s">
        <v>2</v>
      </c>
      <c r="AA44" s="495">
        <v>23</v>
      </c>
      <c r="AB44" s="495">
        <f t="shared" si="9"/>
        <v>276</v>
      </c>
      <c r="AC44" s="509"/>
      <c r="AD44" s="515" t="s">
        <v>390</v>
      </c>
      <c r="AE44" s="516">
        <f t="shared" si="10"/>
        <v>0</v>
      </c>
      <c r="AF44" s="489">
        <f t="shared" si="11"/>
        <v>0</v>
      </c>
      <c r="AG44" s="489"/>
      <c r="AH44" s="490"/>
      <c r="AI44" s="489">
        <f t="shared" si="14"/>
        <v>0</v>
      </c>
      <c r="AJ44" s="489">
        <f t="shared" si="21"/>
        <v>0</v>
      </c>
    </row>
    <row r="45" spans="1:38" s="838" customFormat="1" ht="16.5" thickBot="1">
      <c r="A45" s="829" t="s">
        <v>2</v>
      </c>
      <c r="B45" s="830">
        <v>21075.32916666667</v>
      </c>
      <c r="C45" s="830">
        <v>22039.41</v>
      </c>
      <c r="D45" s="830">
        <f t="shared" si="0"/>
        <v>964.08083333332979</v>
      </c>
      <c r="E45" s="831"/>
      <c r="F45" s="512"/>
      <c r="G45" s="832">
        <f t="shared" si="1"/>
        <v>0</v>
      </c>
      <c r="H45" s="833">
        <f t="shared" si="2"/>
        <v>0</v>
      </c>
      <c r="I45" s="833">
        <f t="shared" si="3"/>
        <v>0</v>
      </c>
      <c r="J45" s="834">
        <v>9</v>
      </c>
      <c r="K45" s="833">
        <f t="shared" si="4"/>
        <v>0</v>
      </c>
      <c r="L45" s="833">
        <f t="shared" si="22"/>
        <v>0</v>
      </c>
      <c r="M45" s="837">
        <f t="shared" si="15"/>
        <v>20344.07076923077</v>
      </c>
      <c r="N45" s="832">
        <f t="shared" si="26"/>
        <v>154.31</v>
      </c>
      <c r="O45" s="832">
        <f t="shared" si="12"/>
        <v>154.31</v>
      </c>
      <c r="P45" s="832">
        <f t="shared" si="5"/>
        <v>11.870000000000001</v>
      </c>
      <c r="Q45" s="831"/>
      <c r="R45" s="512"/>
      <c r="S45" s="832">
        <f t="shared" si="6"/>
        <v>0</v>
      </c>
      <c r="T45" s="833">
        <f t="shared" si="7"/>
        <v>0</v>
      </c>
      <c r="U45" s="833">
        <f t="shared" si="8"/>
        <v>0</v>
      </c>
      <c r="V45" s="834">
        <v>9</v>
      </c>
      <c r="W45" s="833">
        <f t="shared" si="13"/>
        <v>0</v>
      </c>
      <c r="X45" s="833">
        <f t="shared" si="23"/>
        <v>0</v>
      </c>
      <c r="Z45" s="838" t="s">
        <v>2</v>
      </c>
      <c r="AA45" s="838">
        <v>23</v>
      </c>
      <c r="AB45" s="838">
        <f t="shared" si="9"/>
        <v>276</v>
      </c>
      <c r="AC45" s="831"/>
      <c r="AD45" s="512"/>
      <c r="AE45" s="832">
        <f t="shared" si="10"/>
        <v>0</v>
      </c>
      <c r="AF45" s="833">
        <f t="shared" si="11"/>
        <v>0</v>
      </c>
      <c r="AG45" s="839"/>
      <c r="AH45" s="834">
        <v>9</v>
      </c>
      <c r="AI45" s="833">
        <f t="shared" si="14"/>
        <v>0</v>
      </c>
      <c r="AJ45" s="833">
        <f t="shared" si="21"/>
        <v>0</v>
      </c>
    </row>
    <row r="46" spans="1:38" ht="16.5" thickBot="1">
      <c r="A46" s="507" t="s">
        <v>2</v>
      </c>
      <c r="B46" s="508">
        <v>21075.32916666667</v>
      </c>
      <c r="C46" s="508">
        <v>22039.41</v>
      </c>
      <c r="D46" s="508">
        <f t="shared" si="0"/>
        <v>964.08083333332979</v>
      </c>
      <c r="E46" s="509">
        <v>1</v>
      </c>
      <c r="F46" s="512" t="s">
        <v>391</v>
      </c>
      <c r="G46" s="511">
        <f t="shared" si="1"/>
        <v>964.08083333332979</v>
      </c>
      <c r="H46" s="489">
        <f t="shared" si="2"/>
        <v>229.45123833333253</v>
      </c>
      <c r="I46" s="489">
        <f t="shared" si="3"/>
        <v>27.7655279999999</v>
      </c>
      <c r="J46" s="490">
        <v>5</v>
      </c>
      <c r="K46" s="489">
        <f t="shared" si="4"/>
        <v>4.868608208333316</v>
      </c>
      <c r="L46" s="489">
        <f t="shared" si="22"/>
        <v>81.946870833333037</v>
      </c>
      <c r="M46" s="526">
        <f t="shared" si="15"/>
        <v>20344.07076923077</v>
      </c>
      <c r="N46" s="511">
        <f t="shared" si="26"/>
        <v>154.31</v>
      </c>
      <c r="O46" s="511">
        <f t="shared" si="12"/>
        <v>154.31</v>
      </c>
      <c r="P46" s="511">
        <f t="shared" si="5"/>
        <v>11.870000000000001</v>
      </c>
      <c r="Q46" s="509">
        <v>1</v>
      </c>
      <c r="R46" s="512" t="s">
        <v>391</v>
      </c>
      <c r="S46" s="832">
        <f t="shared" si="6"/>
        <v>154.31</v>
      </c>
      <c r="T46" s="489">
        <f t="shared" si="7"/>
        <v>36.72578</v>
      </c>
      <c r="U46" s="489">
        <f t="shared" si="8"/>
        <v>4.4441279999999992</v>
      </c>
      <c r="V46" s="490">
        <v>5</v>
      </c>
      <c r="W46" s="489">
        <f t="shared" si="13"/>
        <v>0.77926549999999994</v>
      </c>
      <c r="X46" s="489">
        <f t="shared" si="23"/>
        <v>13.116349999999999</v>
      </c>
      <c r="Z46" s="495" t="s">
        <v>2</v>
      </c>
      <c r="AA46" s="495">
        <v>23</v>
      </c>
      <c r="AB46" s="495">
        <f t="shared" si="9"/>
        <v>276</v>
      </c>
      <c r="AC46" s="509">
        <v>1</v>
      </c>
      <c r="AD46" s="512" t="s">
        <v>391</v>
      </c>
      <c r="AE46" s="832">
        <f t="shared" si="10"/>
        <v>276</v>
      </c>
      <c r="AF46" s="489">
        <f t="shared" si="11"/>
        <v>65.688000000000002</v>
      </c>
      <c r="AG46" s="489"/>
      <c r="AH46" s="490">
        <v>5</v>
      </c>
      <c r="AI46" s="489">
        <f t="shared" si="14"/>
        <v>1.3938000000000001</v>
      </c>
      <c r="AJ46" s="489">
        <f t="shared" si="21"/>
        <v>23.459999999999997</v>
      </c>
    </row>
    <row r="47" spans="1:38" ht="16.5" thickBot="1">
      <c r="A47" s="507" t="s">
        <v>2</v>
      </c>
      <c r="B47" s="508">
        <v>21075.32916666667</v>
      </c>
      <c r="C47" s="508">
        <v>22039.41</v>
      </c>
      <c r="D47" s="508">
        <f>C47-B47</f>
        <v>964.08083333332979</v>
      </c>
      <c r="E47" s="509">
        <v>1</v>
      </c>
      <c r="F47" s="512" t="s">
        <v>392</v>
      </c>
      <c r="G47" s="511">
        <f>E47*D47</f>
        <v>964.08083333332979</v>
      </c>
      <c r="H47" s="489">
        <f>G47/100*23.8</f>
        <v>229.45123833333253</v>
      </c>
      <c r="I47" s="489">
        <f>G47/100*2.88</f>
        <v>27.7655279999999</v>
      </c>
      <c r="J47" s="490">
        <v>9</v>
      </c>
      <c r="K47" s="489">
        <f>((G47/1000)*J47)+((G47/1000)*J47)*1%</f>
        <v>8.7634947749999679</v>
      </c>
      <c r="L47" s="489">
        <f>(G47)/100*8.5</f>
        <v>81.946870833333037</v>
      </c>
      <c r="M47" s="526">
        <f t="shared" si="15"/>
        <v>20344.07076923077</v>
      </c>
      <c r="N47" s="511">
        <f t="shared" si="26"/>
        <v>154.31</v>
      </c>
      <c r="O47" s="511">
        <f t="shared" si="12"/>
        <v>154.31</v>
      </c>
      <c r="P47" s="511">
        <f>O47/13</f>
        <v>11.870000000000001</v>
      </c>
      <c r="Q47" s="509">
        <v>1</v>
      </c>
      <c r="R47" s="512" t="s">
        <v>392</v>
      </c>
      <c r="S47" s="832">
        <f>Q47*O47</f>
        <v>154.31</v>
      </c>
      <c r="T47" s="489">
        <f>S47/100*23.8</f>
        <v>36.72578</v>
      </c>
      <c r="U47" s="489">
        <f>S47/100*2.88</f>
        <v>4.4441279999999992</v>
      </c>
      <c r="V47" s="490">
        <v>9</v>
      </c>
      <c r="W47" s="489">
        <f>((S47/1000)*V47)+((S47/1000)*V47)*1%</f>
        <v>1.4026779</v>
      </c>
      <c r="X47" s="489">
        <f>(S47)/100*8.5</f>
        <v>13.116349999999999</v>
      </c>
      <c r="Z47" s="495" t="s">
        <v>2</v>
      </c>
      <c r="AA47" s="495">
        <v>23</v>
      </c>
      <c r="AB47" s="495">
        <f>AA47*12</f>
        <v>276</v>
      </c>
      <c r="AC47" s="509">
        <v>1</v>
      </c>
      <c r="AD47" s="512" t="s">
        <v>392</v>
      </c>
      <c r="AE47" s="832">
        <f>AC47*AB47</f>
        <v>276</v>
      </c>
      <c r="AF47" s="489">
        <f>AE47/100*23.8</f>
        <v>65.688000000000002</v>
      </c>
      <c r="AG47" s="489"/>
      <c r="AH47" s="490">
        <v>9</v>
      </c>
      <c r="AI47" s="489">
        <f>((AE47/1000)*AH47)+((AE47/1000)*AH47)*1%</f>
        <v>2.5088400000000002</v>
      </c>
      <c r="AJ47" s="489">
        <f>(AE47)/100*8.5</f>
        <v>23.459999999999997</v>
      </c>
    </row>
    <row r="48" spans="1:38" ht="16.5" thickBot="1">
      <c r="A48" s="507" t="s">
        <v>2</v>
      </c>
      <c r="B48" s="508">
        <v>21075.32916666667</v>
      </c>
      <c r="C48" s="508">
        <v>22039.41</v>
      </c>
      <c r="D48" s="508">
        <f>C48-B48</f>
        <v>964.08083333332979</v>
      </c>
      <c r="E48" s="509"/>
      <c r="F48" s="512"/>
      <c r="G48" s="511">
        <f>E48*D48</f>
        <v>0</v>
      </c>
      <c r="H48" s="489">
        <f>G48/100*23.8</f>
        <v>0</v>
      </c>
      <c r="I48" s="489">
        <f>G48/100*2.88</f>
        <v>0</v>
      </c>
      <c r="J48" s="490">
        <v>5</v>
      </c>
      <c r="K48" s="489">
        <f>((G48/1000)*J48)+((G48/1000)*J48)*1%</f>
        <v>0</v>
      </c>
      <c r="L48" s="489">
        <f>(G48)/100*8.5</f>
        <v>0</v>
      </c>
      <c r="M48" s="526">
        <f t="shared" si="15"/>
        <v>20344.07076923077</v>
      </c>
      <c r="N48" s="511">
        <f t="shared" si="26"/>
        <v>154.31</v>
      </c>
      <c r="O48" s="511">
        <f t="shared" si="12"/>
        <v>154.31</v>
      </c>
      <c r="P48" s="511">
        <f>O48/13</f>
        <v>11.870000000000001</v>
      </c>
      <c r="Q48" s="509"/>
      <c r="R48" s="512"/>
      <c r="S48" s="832">
        <f>Q48*O48</f>
        <v>0</v>
      </c>
      <c r="T48" s="489">
        <f>S48/100*23.8</f>
        <v>0</v>
      </c>
      <c r="U48" s="489">
        <f>S48/100*2.88</f>
        <v>0</v>
      </c>
      <c r="V48" s="490">
        <v>5</v>
      </c>
      <c r="W48" s="489">
        <f>((S48/1000)*V48)+((S48/1000)*V48)*1%</f>
        <v>0</v>
      </c>
      <c r="X48" s="489">
        <f>(S48)/100*8.5</f>
        <v>0</v>
      </c>
      <c r="Z48" s="495" t="s">
        <v>2</v>
      </c>
      <c r="AA48" s="495">
        <v>23</v>
      </c>
      <c r="AB48" s="495">
        <f>AA48*12</f>
        <v>276</v>
      </c>
      <c r="AC48" s="509"/>
      <c r="AD48" s="512"/>
      <c r="AE48" s="832">
        <f>AC48*AB48</f>
        <v>0</v>
      </c>
      <c r="AF48" s="489">
        <f>AE48/100*23.8</f>
        <v>0</v>
      </c>
      <c r="AG48" s="489"/>
      <c r="AH48" s="490">
        <v>5</v>
      </c>
      <c r="AI48" s="489">
        <f>((AE48/1000)*AH48)+((AE48/1000)*AH48)*1%</f>
        <v>0</v>
      </c>
      <c r="AJ48" s="489">
        <f>(AE48)/100*8.5</f>
        <v>0</v>
      </c>
    </row>
    <row r="49" spans="1:36" ht="16.5" thickBot="1">
      <c r="A49" s="507" t="s">
        <v>2</v>
      </c>
      <c r="B49" s="508">
        <v>21075.32916666667</v>
      </c>
      <c r="C49" s="508">
        <v>22039.41</v>
      </c>
      <c r="D49" s="508">
        <f t="shared" si="0"/>
        <v>964.08083333332979</v>
      </c>
      <c r="E49" s="509"/>
      <c r="F49" s="512"/>
      <c r="G49" s="511">
        <f t="shared" si="1"/>
        <v>0</v>
      </c>
      <c r="H49" s="489">
        <f t="shared" si="2"/>
        <v>0</v>
      </c>
      <c r="I49" s="489">
        <f t="shared" si="3"/>
        <v>0</v>
      </c>
      <c r="J49" s="490">
        <v>5</v>
      </c>
      <c r="K49" s="489">
        <f t="shared" si="4"/>
        <v>0</v>
      </c>
      <c r="L49" s="489">
        <f t="shared" si="22"/>
        <v>0</v>
      </c>
      <c r="M49" s="526">
        <f t="shared" si="15"/>
        <v>20344.07076923077</v>
      </c>
      <c r="N49" s="511">
        <f t="shared" si="26"/>
        <v>154.31</v>
      </c>
      <c r="O49" s="511">
        <f t="shared" si="12"/>
        <v>154.31</v>
      </c>
      <c r="P49" s="511">
        <f t="shared" si="5"/>
        <v>11.870000000000001</v>
      </c>
      <c r="Q49" s="509"/>
      <c r="R49" s="512"/>
      <c r="S49" s="832">
        <f t="shared" si="6"/>
        <v>0</v>
      </c>
      <c r="T49" s="489">
        <f t="shared" si="7"/>
        <v>0</v>
      </c>
      <c r="U49" s="489">
        <f t="shared" si="8"/>
        <v>0</v>
      </c>
      <c r="V49" s="490">
        <v>5</v>
      </c>
      <c r="W49" s="489">
        <f t="shared" si="13"/>
        <v>0</v>
      </c>
      <c r="X49" s="489">
        <f t="shared" si="23"/>
        <v>0</v>
      </c>
      <c r="Z49" s="495" t="s">
        <v>2</v>
      </c>
      <c r="AA49" s="495">
        <v>23</v>
      </c>
      <c r="AB49" s="495">
        <f t="shared" si="9"/>
        <v>276</v>
      </c>
      <c r="AC49" s="509"/>
      <c r="AD49" s="512"/>
      <c r="AE49" s="832">
        <f t="shared" si="10"/>
        <v>0</v>
      </c>
      <c r="AF49" s="489">
        <f t="shared" si="11"/>
        <v>0</v>
      </c>
      <c r="AG49" s="489"/>
      <c r="AH49" s="490">
        <v>5</v>
      </c>
      <c r="AI49" s="489">
        <f t="shared" si="14"/>
        <v>0</v>
      </c>
      <c r="AJ49" s="489">
        <f t="shared" si="21"/>
        <v>0</v>
      </c>
    </row>
    <row r="50" spans="1:36" ht="16.5" thickBot="1">
      <c r="A50" s="507" t="s">
        <v>2</v>
      </c>
      <c r="B50" s="508">
        <v>21075.32916666667</v>
      </c>
      <c r="C50" s="508">
        <v>22039.41</v>
      </c>
      <c r="D50" s="508">
        <f t="shared" ref="D50" si="27">C50-B50</f>
        <v>964.08083333332979</v>
      </c>
      <c r="E50" s="509">
        <v>1</v>
      </c>
      <c r="F50" s="835" t="s">
        <v>385</v>
      </c>
      <c r="G50" s="511">
        <f t="shared" ref="G50" si="28">E50*D50</f>
        <v>964.08083333332979</v>
      </c>
      <c r="H50" s="489">
        <f t="shared" ref="H50" si="29">G50/100*23.8</f>
        <v>229.45123833333253</v>
      </c>
      <c r="I50" s="489">
        <f t="shared" ref="I50" si="30">G50/100*2.88</f>
        <v>27.7655279999999</v>
      </c>
      <c r="J50" s="490">
        <v>5</v>
      </c>
      <c r="K50" s="489">
        <f t="shared" ref="K50" si="31">((G50/1000)*J50)+((G50/1000)*J50)*1%</f>
        <v>4.868608208333316</v>
      </c>
      <c r="L50" s="489">
        <f t="shared" ref="L50" si="32">(G50)/100*8.5</f>
        <v>81.946870833333037</v>
      </c>
      <c r="M50" s="526">
        <f t="shared" ref="M50" si="33">C50/13*12</f>
        <v>20344.07076923077</v>
      </c>
      <c r="N50" s="511">
        <f t="shared" si="26"/>
        <v>154.31</v>
      </c>
      <c r="O50" s="511">
        <f t="shared" si="12"/>
        <v>154.31</v>
      </c>
      <c r="P50" s="511">
        <f t="shared" ref="P50" si="34">O50/13</f>
        <v>11.870000000000001</v>
      </c>
      <c r="Q50" s="509">
        <v>1</v>
      </c>
      <c r="R50" s="835" t="s">
        <v>385</v>
      </c>
      <c r="S50" s="832">
        <f>Q50*O50</f>
        <v>154.31</v>
      </c>
      <c r="T50" s="489">
        <f t="shared" ref="T50" si="35">S50/100*23.8</f>
        <v>36.72578</v>
      </c>
      <c r="U50" s="489">
        <f t="shared" ref="U50" si="36">S50/100*2.88</f>
        <v>4.4441279999999992</v>
      </c>
      <c r="V50" s="490">
        <v>5</v>
      </c>
      <c r="W50" s="489">
        <f t="shared" ref="W50" si="37">((S50/1000)*V50)+((S50/1000)*V50)*1%</f>
        <v>0.77926549999999994</v>
      </c>
      <c r="X50" s="489">
        <f t="shared" ref="X50" si="38">(S50)/100*8.5</f>
        <v>13.116349999999999</v>
      </c>
      <c r="Z50" s="506" t="s">
        <v>2</v>
      </c>
      <c r="AA50" s="495">
        <v>23</v>
      </c>
      <c r="AB50" s="495">
        <f t="shared" ref="AB50" si="39">AA50*12</f>
        <v>276</v>
      </c>
      <c r="AC50" s="509">
        <v>1</v>
      </c>
      <c r="AD50" s="835" t="s">
        <v>385</v>
      </c>
      <c r="AE50" s="832">
        <f t="shared" ref="AE50" si="40">AC50*AB50</f>
        <v>276</v>
      </c>
      <c r="AF50" s="489">
        <f t="shared" ref="AF50" si="41">AE50/100*23.8</f>
        <v>65.688000000000002</v>
      </c>
      <c r="AG50" s="489"/>
      <c r="AH50" s="490">
        <v>5</v>
      </c>
      <c r="AI50" s="489">
        <f t="shared" ref="AI50" si="42">((AE50/1000)*AH50)+((AE50/1000)*AH50)*1%</f>
        <v>1.3938000000000001</v>
      </c>
      <c r="AJ50" s="489">
        <f t="shared" ref="AJ50:AJ55" si="43">(AE50)/100*8.5</f>
        <v>23.459999999999997</v>
      </c>
    </row>
    <row r="51" spans="1:36" ht="16.5" thickBot="1">
      <c r="A51" s="507" t="s">
        <v>2</v>
      </c>
      <c r="B51" s="508">
        <v>21075.32916666667</v>
      </c>
      <c r="C51" s="508">
        <v>22039.41</v>
      </c>
      <c r="D51" s="508">
        <f t="shared" ref="D51" si="44">C51-B51</f>
        <v>964.08083333332979</v>
      </c>
      <c r="E51" s="540">
        <v>1</v>
      </c>
      <c r="F51" s="835" t="s">
        <v>471</v>
      </c>
      <c r="G51" s="511">
        <f t="shared" ref="G51" si="45">E51*D51</f>
        <v>964.08083333332979</v>
      </c>
      <c r="H51" s="489">
        <f t="shared" ref="H51" si="46">G51/100*23.8</f>
        <v>229.45123833333253</v>
      </c>
      <c r="I51" s="489">
        <f t="shared" ref="I51" si="47">G51/100*2.88</f>
        <v>27.7655279999999</v>
      </c>
      <c r="J51" s="490">
        <v>21</v>
      </c>
      <c r="K51" s="489">
        <f t="shared" ref="K51" si="48">((G51/1000)*J51)+((G51/1000)*J51)*1%</f>
        <v>20.448154474999928</v>
      </c>
      <c r="L51" s="489">
        <f t="shared" ref="L51" si="49">(G51)/100*8.5</f>
        <v>81.946870833333037</v>
      </c>
      <c r="M51" s="526">
        <f t="shared" ref="M51" si="50">C51/13*12</f>
        <v>20344.07076923077</v>
      </c>
      <c r="N51" s="511">
        <f t="shared" si="26"/>
        <v>154.31</v>
      </c>
      <c r="O51" s="511">
        <f t="shared" si="12"/>
        <v>154.31</v>
      </c>
      <c r="P51" s="511">
        <f t="shared" ref="P51" si="51">O51/13</f>
        <v>11.870000000000001</v>
      </c>
      <c r="Q51" s="540">
        <v>1</v>
      </c>
      <c r="R51" s="835" t="s">
        <v>471</v>
      </c>
      <c r="S51" s="832">
        <f t="shared" ref="S51:S55" si="52">Q51*O51</f>
        <v>154.31</v>
      </c>
      <c r="T51" s="489">
        <f t="shared" ref="T51" si="53">S51/100*23.8</f>
        <v>36.72578</v>
      </c>
      <c r="U51" s="489">
        <f t="shared" ref="U51" si="54">S51/100*2.88</f>
        <v>4.4441279999999992</v>
      </c>
      <c r="V51" s="490">
        <v>21</v>
      </c>
      <c r="W51" s="489">
        <f t="shared" ref="W51" si="55">((S51/1000)*V51)+((S51/1000)*V51)*1%</f>
        <v>3.2729151000000001</v>
      </c>
      <c r="X51" s="489">
        <f t="shared" ref="X51" si="56">(S51)/100*8.5</f>
        <v>13.116349999999999</v>
      </c>
      <c r="Z51" s="506" t="s">
        <v>2</v>
      </c>
      <c r="AA51" s="495">
        <v>23</v>
      </c>
      <c r="AB51" s="495">
        <f t="shared" ref="AB51" si="57">AA51*12</f>
        <v>276</v>
      </c>
      <c r="AC51" s="540">
        <v>1</v>
      </c>
      <c r="AD51" s="835" t="s">
        <v>471</v>
      </c>
      <c r="AE51" s="832">
        <f t="shared" ref="AE51" si="58">AC51*AB51</f>
        <v>276</v>
      </c>
      <c r="AF51" s="489">
        <f t="shared" ref="AF51" si="59">AE51/100*23.8</f>
        <v>65.688000000000002</v>
      </c>
      <c r="AG51" s="489"/>
      <c r="AH51" s="490">
        <v>21</v>
      </c>
      <c r="AI51" s="489">
        <f t="shared" ref="AI51" si="60">((AE51/1000)*AH51)+((AE51/1000)*AH51)*1%</f>
        <v>5.8539599999999998</v>
      </c>
      <c r="AJ51" s="489">
        <f t="shared" si="43"/>
        <v>23.459999999999997</v>
      </c>
    </row>
    <row r="52" spans="1:36" ht="16.5" thickBot="1">
      <c r="A52" s="507" t="s">
        <v>2</v>
      </c>
      <c r="B52" s="508">
        <v>21075.32916666667</v>
      </c>
      <c r="C52" s="508">
        <v>22039.41</v>
      </c>
      <c r="D52" s="508">
        <f t="shared" ref="D52:D54" si="61">C52-B52</f>
        <v>964.08083333332979</v>
      </c>
      <c r="E52" s="540"/>
      <c r="F52" s="594"/>
      <c r="G52" s="511">
        <f t="shared" ref="G52:G54" si="62">E52*D52</f>
        <v>0</v>
      </c>
      <c r="H52" s="489">
        <f t="shared" ref="H52:H54" si="63">G52/100*23.8</f>
        <v>0</v>
      </c>
      <c r="I52" s="489">
        <f t="shared" ref="I52:I54" si="64">G52/100*2.88</f>
        <v>0</v>
      </c>
      <c r="J52" s="490">
        <v>5</v>
      </c>
      <c r="K52" s="489">
        <f t="shared" ref="K52:K54" si="65">((G52/1000)*J52)+((G52/1000)*J52)*1%</f>
        <v>0</v>
      </c>
      <c r="L52" s="489">
        <f t="shared" ref="L52:L54" si="66">(G52)/100*8.5</f>
        <v>0</v>
      </c>
      <c r="M52" s="526">
        <f t="shared" ref="M52:M54" si="67">C52/13*12</f>
        <v>20344.07076923077</v>
      </c>
      <c r="N52" s="511">
        <f t="shared" si="26"/>
        <v>154.31</v>
      </c>
      <c r="O52" s="511">
        <f t="shared" si="12"/>
        <v>154.31</v>
      </c>
      <c r="P52" s="511">
        <f t="shared" ref="P52:P54" si="68">O52/13</f>
        <v>11.870000000000001</v>
      </c>
      <c r="Q52" s="540"/>
      <c r="R52" s="594"/>
      <c r="S52" s="832">
        <f t="shared" si="52"/>
        <v>0</v>
      </c>
      <c r="T52" s="489">
        <f t="shared" ref="T52:T54" si="69">S52/100*23.8</f>
        <v>0</v>
      </c>
      <c r="U52" s="489">
        <f t="shared" ref="U52:U54" si="70">S52/100*2.88</f>
        <v>0</v>
      </c>
      <c r="V52" s="490">
        <v>5</v>
      </c>
      <c r="W52" s="489">
        <f t="shared" ref="W52:W54" si="71">((S52/1000)*V52)+((S52/1000)*V52)*1%</f>
        <v>0</v>
      </c>
      <c r="X52" s="489">
        <f t="shared" ref="X52:X54" si="72">(S52)/100*8.5</f>
        <v>0</v>
      </c>
      <c r="Z52" s="506" t="s">
        <v>2</v>
      </c>
      <c r="AA52" s="495">
        <v>23</v>
      </c>
      <c r="AB52" s="495">
        <f t="shared" ref="AB52:AB54" si="73">AA52*12</f>
        <v>276</v>
      </c>
      <c r="AC52" s="540"/>
      <c r="AD52" s="594"/>
      <c r="AE52" s="527">
        <f t="shared" ref="AE52:AE54" si="74">AC52*AB52</f>
        <v>0</v>
      </c>
      <c r="AF52" s="489">
        <f t="shared" ref="AF52:AF54" si="75">AE52/100*23.8</f>
        <v>0</v>
      </c>
      <c r="AG52" s="489"/>
      <c r="AH52" s="490">
        <v>5</v>
      </c>
      <c r="AI52" s="489">
        <f t="shared" ref="AI52:AI54" si="76">((AE52/1000)*AH52)+((AE52/1000)*AH52)*1%</f>
        <v>0</v>
      </c>
      <c r="AJ52" s="489">
        <f t="shared" si="43"/>
        <v>0</v>
      </c>
    </row>
    <row r="53" spans="1:36" ht="76.5" thickBot="1">
      <c r="A53" s="507" t="s">
        <v>2</v>
      </c>
      <c r="B53" s="508">
        <v>21075.32916666667</v>
      </c>
      <c r="C53" s="508">
        <v>22039.41</v>
      </c>
      <c r="D53" s="508">
        <f t="shared" si="61"/>
        <v>964.08083333332979</v>
      </c>
      <c r="E53" s="540">
        <f>11/12</f>
        <v>0.91666666666666663</v>
      </c>
      <c r="F53" s="594" t="s">
        <v>729</v>
      </c>
      <c r="G53" s="511">
        <f t="shared" si="62"/>
        <v>883.74076388888557</v>
      </c>
      <c r="H53" s="489">
        <f t="shared" si="63"/>
        <v>210.33030180555477</v>
      </c>
      <c r="I53" s="489">
        <f t="shared" si="64"/>
        <v>25.451733999999902</v>
      </c>
      <c r="J53" s="490">
        <v>21</v>
      </c>
      <c r="K53" s="489">
        <f t="shared" si="65"/>
        <v>18.744141602083264</v>
      </c>
      <c r="L53" s="489">
        <f t="shared" si="66"/>
        <v>75.117964930555274</v>
      </c>
      <c r="M53" s="526">
        <f t="shared" si="67"/>
        <v>20344.07076923077</v>
      </c>
      <c r="N53" s="511">
        <f t="shared" si="26"/>
        <v>154.31</v>
      </c>
      <c r="O53" s="511">
        <f t="shared" si="12"/>
        <v>154.31</v>
      </c>
      <c r="P53" s="511">
        <f t="shared" si="68"/>
        <v>11.870000000000001</v>
      </c>
      <c r="Q53" s="540">
        <f>11/12</f>
        <v>0.91666666666666663</v>
      </c>
      <c r="R53" s="594" t="s">
        <v>729</v>
      </c>
      <c r="S53" s="832">
        <f t="shared" si="52"/>
        <v>141.45083333333332</v>
      </c>
      <c r="T53" s="489">
        <f t="shared" si="69"/>
        <v>33.665298333333332</v>
      </c>
      <c r="U53" s="489">
        <f t="shared" si="70"/>
        <v>4.0737839999999998</v>
      </c>
      <c r="V53" s="490">
        <v>21</v>
      </c>
      <c r="W53" s="489">
        <f t="shared" si="71"/>
        <v>3.0001721749999999</v>
      </c>
      <c r="X53" s="489">
        <f t="shared" si="72"/>
        <v>12.023320833333333</v>
      </c>
      <c r="Z53" s="506" t="s">
        <v>2</v>
      </c>
      <c r="AA53" s="495">
        <v>23</v>
      </c>
      <c r="AB53" s="495">
        <f t="shared" si="73"/>
        <v>276</v>
      </c>
      <c r="AC53" s="540">
        <f>11/12</f>
        <v>0.91666666666666663</v>
      </c>
      <c r="AD53" s="594" t="s">
        <v>729</v>
      </c>
      <c r="AE53" s="527">
        <f t="shared" si="74"/>
        <v>253</v>
      </c>
      <c r="AF53" s="489">
        <f t="shared" si="75"/>
        <v>60.213999999999999</v>
      </c>
      <c r="AG53" s="489"/>
      <c r="AH53" s="490">
        <v>21</v>
      </c>
      <c r="AI53" s="489">
        <f t="shared" si="76"/>
        <v>5.3661300000000001</v>
      </c>
      <c r="AJ53" s="489">
        <f t="shared" si="43"/>
        <v>21.504999999999999</v>
      </c>
    </row>
    <row r="54" spans="1:36" ht="181.5" thickBot="1">
      <c r="A54" s="507" t="s">
        <v>2</v>
      </c>
      <c r="B54" s="508">
        <v>21075.32916666667</v>
      </c>
      <c r="C54" s="508">
        <v>22039.41</v>
      </c>
      <c r="D54" s="508">
        <f t="shared" si="61"/>
        <v>964.08083333332979</v>
      </c>
      <c r="E54" s="540">
        <f>8/12</f>
        <v>0.66666666666666663</v>
      </c>
      <c r="F54" s="594" t="s">
        <v>738</v>
      </c>
      <c r="G54" s="511">
        <f t="shared" si="62"/>
        <v>642.72055555555312</v>
      </c>
      <c r="H54" s="489">
        <f t="shared" si="63"/>
        <v>152.96749222222164</v>
      </c>
      <c r="I54" s="489">
        <f t="shared" si="64"/>
        <v>18.51035199999993</v>
      </c>
      <c r="J54" s="490">
        <v>21</v>
      </c>
      <c r="K54" s="489">
        <f t="shared" si="65"/>
        <v>13.632102983333281</v>
      </c>
      <c r="L54" s="489">
        <f t="shared" si="66"/>
        <v>54.631247222222015</v>
      </c>
      <c r="M54" s="526">
        <f t="shared" si="67"/>
        <v>20344.07076923077</v>
      </c>
      <c r="N54" s="511">
        <f t="shared" si="26"/>
        <v>154.31</v>
      </c>
      <c r="O54" s="511">
        <f t="shared" si="12"/>
        <v>154.31</v>
      </c>
      <c r="P54" s="511">
        <f t="shared" si="68"/>
        <v>11.870000000000001</v>
      </c>
      <c r="Q54" s="540">
        <f>8/12</f>
        <v>0.66666666666666663</v>
      </c>
      <c r="R54" s="594" t="s">
        <v>738</v>
      </c>
      <c r="S54" s="832">
        <f t="shared" si="52"/>
        <v>102.87333333333333</v>
      </c>
      <c r="T54" s="489">
        <f t="shared" si="69"/>
        <v>24.483853333333332</v>
      </c>
      <c r="U54" s="489">
        <f t="shared" si="70"/>
        <v>2.9627519999999996</v>
      </c>
      <c r="V54" s="490">
        <v>21</v>
      </c>
      <c r="W54" s="489">
        <f t="shared" si="71"/>
        <v>2.1819434000000002</v>
      </c>
      <c r="X54" s="489">
        <f t="shared" si="72"/>
        <v>8.7442333333333337</v>
      </c>
      <c r="Z54" s="506" t="s">
        <v>2</v>
      </c>
      <c r="AA54" s="495">
        <v>23</v>
      </c>
      <c r="AB54" s="495">
        <f t="shared" si="73"/>
        <v>276</v>
      </c>
      <c r="AC54" s="540">
        <f>8/12</f>
        <v>0.66666666666666663</v>
      </c>
      <c r="AD54" s="594" t="s">
        <v>738</v>
      </c>
      <c r="AE54" s="527">
        <f t="shared" si="74"/>
        <v>184</v>
      </c>
      <c r="AF54" s="489">
        <f t="shared" si="75"/>
        <v>43.792000000000002</v>
      </c>
      <c r="AG54" s="489"/>
      <c r="AH54" s="490">
        <v>21</v>
      </c>
      <c r="AI54" s="489">
        <f t="shared" si="76"/>
        <v>3.9026399999999999</v>
      </c>
      <c r="AJ54" s="489">
        <f t="shared" si="43"/>
        <v>15.64</v>
      </c>
    </row>
    <row r="55" spans="1:36" ht="76.5" thickBot="1">
      <c r="A55" s="507" t="s">
        <v>2</v>
      </c>
      <c r="B55" s="508">
        <v>21075.32916666667</v>
      </c>
      <c r="C55" s="508">
        <v>22039.41</v>
      </c>
      <c r="D55" s="508">
        <f t="shared" ref="D55" si="77">C55-B55</f>
        <v>964.08083333332979</v>
      </c>
      <c r="E55" s="540">
        <v>0.55000000000000004</v>
      </c>
      <c r="F55" s="591" t="s">
        <v>553</v>
      </c>
      <c r="G55" s="511">
        <f>E55*D55</f>
        <v>530.24445833333141</v>
      </c>
      <c r="H55" s="489">
        <f t="shared" ref="H55" si="78">G55/100*23.8</f>
        <v>126.19818108333288</v>
      </c>
      <c r="I55" s="489">
        <f t="shared" ref="I55" si="79">G55/100*2.88</f>
        <v>15.271040399999945</v>
      </c>
      <c r="J55" s="490">
        <v>5</v>
      </c>
      <c r="K55" s="489">
        <f t="shared" ref="K55" si="80">((G55/1000)*J55)+((G55/1000)*J55)*1%</f>
        <v>2.677734514583324</v>
      </c>
      <c r="L55" s="489">
        <f t="shared" ref="L55" si="81">(G55)/100*8.5</f>
        <v>45.070778958333172</v>
      </c>
      <c r="M55" s="526">
        <f t="shared" ref="M55" si="82">C55/13*12</f>
        <v>20344.07076923077</v>
      </c>
      <c r="N55" s="511">
        <f t="shared" si="26"/>
        <v>154.31</v>
      </c>
      <c r="O55" s="511">
        <f t="shared" si="12"/>
        <v>154.31</v>
      </c>
      <c r="P55" s="511">
        <f t="shared" ref="P55" si="83">O55/13</f>
        <v>11.870000000000001</v>
      </c>
      <c r="Q55" s="540">
        <v>0.55000000000000004</v>
      </c>
      <c r="R55" s="591" t="s">
        <v>553</v>
      </c>
      <c r="S55" s="832">
        <f t="shared" si="52"/>
        <v>84.870500000000007</v>
      </c>
      <c r="T55" s="489">
        <f t="shared" ref="T55" si="84">S55/100*23.8</f>
        <v>20.199179000000001</v>
      </c>
      <c r="U55" s="489">
        <f t="shared" ref="U55" si="85">S55/100*2.88</f>
        <v>2.4442704000000002</v>
      </c>
      <c r="V55" s="490">
        <v>5</v>
      </c>
      <c r="W55" s="489">
        <f t="shared" ref="W55" si="86">((S55/1000)*V55)+((S55/1000)*V55)*1%</f>
        <v>0.42859602500000005</v>
      </c>
      <c r="X55" s="489">
        <f t="shared" ref="X55" si="87">(S55)/100*8.5</f>
        <v>7.2139925000000007</v>
      </c>
      <c r="Z55" s="506" t="s">
        <v>2</v>
      </c>
      <c r="AA55" s="495">
        <v>23</v>
      </c>
      <c r="AB55" s="495">
        <f t="shared" ref="AB55:AB59" si="88">AA55*12</f>
        <v>276</v>
      </c>
      <c r="AC55" s="540">
        <v>0.55000000000000004</v>
      </c>
      <c r="AD55" s="591" t="s">
        <v>553</v>
      </c>
      <c r="AE55" s="832">
        <f t="shared" ref="AE55" si="89">AC55*AB55</f>
        <v>151.80000000000001</v>
      </c>
      <c r="AF55" s="489">
        <f t="shared" ref="AF55" si="90">AE55/100*23.8</f>
        <v>36.128399999999999</v>
      </c>
      <c r="AG55" s="489"/>
      <c r="AH55" s="490">
        <v>5</v>
      </c>
      <c r="AI55" s="489">
        <f t="shared" ref="AI55" si="91">((AE55/1000)*AH55)+((AE55/1000)*AH55)*1%</f>
        <v>0.7665900000000001</v>
      </c>
      <c r="AJ55" s="489">
        <f t="shared" si="43"/>
        <v>12.903</v>
      </c>
    </row>
    <row r="56" spans="1:36" ht="107.25" thickTop="1" thickBot="1">
      <c r="A56" s="507" t="s">
        <v>2</v>
      </c>
      <c r="B56" s="508">
        <v>21075.32916666667</v>
      </c>
      <c r="C56" s="508">
        <v>22039.41</v>
      </c>
      <c r="D56" s="508">
        <f t="shared" ref="D56:D59" si="92">C56-B56</f>
        <v>964.08083333332979</v>
      </c>
      <c r="E56" s="540">
        <f>11/12</f>
        <v>0.91666666666666663</v>
      </c>
      <c r="F56" s="594" t="s">
        <v>730</v>
      </c>
      <c r="G56" s="511">
        <f t="shared" ref="G56:G59" si="93">E56*D56</f>
        <v>883.74076388888557</v>
      </c>
      <c r="H56" s="489">
        <f t="shared" ref="H56:H59" si="94">G56/100*23.8</f>
        <v>210.33030180555477</v>
      </c>
      <c r="I56" s="489">
        <f t="shared" ref="I56:I59" si="95">G56/100*2.88</f>
        <v>25.451733999999902</v>
      </c>
      <c r="J56" s="490">
        <v>21</v>
      </c>
      <c r="K56" s="489">
        <f t="shared" ref="K56:K59" si="96">((G56/1000)*J56)+((G56/1000)*J56)*1%</f>
        <v>18.744141602083264</v>
      </c>
      <c r="L56" s="489">
        <f t="shared" ref="L56:L59" si="97">(G56)/100*8.5</f>
        <v>75.117964930555274</v>
      </c>
      <c r="M56" s="526">
        <f t="shared" ref="M56:M59" si="98">C56/13*12</f>
        <v>20344.07076923077</v>
      </c>
      <c r="N56" s="511">
        <f t="shared" si="26"/>
        <v>154.31</v>
      </c>
      <c r="O56" s="511">
        <f t="shared" si="12"/>
        <v>154.31</v>
      </c>
      <c r="P56" s="511">
        <f t="shared" ref="P56:P59" si="99">O56/13</f>
        <v>11.870000000000001</v>
      </c>
      <c r="Q56" s="540">
        <f>11/12</f>
        <v>0.91666666666666663</v>
      </c>
      <c r="R56" s="594" t="s">
        <v>730</v>
      </c>
      <c r="S56" s="832">
        <f t="shared" ref="S56:S59" si="100">Q56*O56</f>
        <v>141.45083333333332</v>
      </c>
      <c r="T56" s="489">
        <f t="shared" ref="T56:T59" si="101">S56/100*23.8</f>
        <v>33.665298333333332</v>
      </c>
      <c r="U56" s="489">
        <f t="shared" ref="U56:U59" si="102">S56/100*2.88</f>
        <v>4.0737839999999998</v>
      </c>
      <c r="V56" s="490">
        <v>21</v>
      </c>
      <c r="W56" s="489">
        <f t="shared" ref="W56:W59" si="103">((S56/1000)*V56)+((S56/1000)*V56)*1%</f>
        <v>3.0001721749999999</v>
      </c>
      <c r="X56" s="489">
        <f t="shared" ref="X56:X59" si="104">(S56)/100*8.5</f>
        <v>12.023320833333333</v>
      </c>
      <c r="Z56" s="506" t="s">
        <v>2</v>
      </c>
      <c r="AA56" s="495">
        <v>23</v>
      </c>
      <c r="AB56" s="495">
        <f t="shared" si="88"/>
        <v>276</v>
      </c>
      <c r="AC56" s="540">
        <f>11/12</f>
        <v>0.91666666666666663</v>
      </c>
      <c r="AD56" s="594" t="s">
        <v>730</v>
      </c>
      <c r="AE56" s="832">
        <f t="shared" ref="AE56:AE59" si="105">AC56*AB56</f>
        <v>253</v>
      </c>
      <c r="AF56" s="489">
        <f t="shared" ref="AF56:AF59" si="106">AE56/100*23.8</f>
        <v>60.213999999999999</v>
      </c>
      <c r="AG56" s="489"/>
      <c r="AH56" s="490">
        <v>21</v>
      </c>
      <c r="AI56" s="489">
        <f t="shared" ref="AI56:AI59" si="107">((AE56/1000)*AH56)+((AE56/1000)*AH56)*1%</f>
        <v>5.3661300000000001</v>
      </c>
      <c r="AJ56" s="489">
        <f t="shared" ref="AJ56:AJ59" si="108">(AE56)/100*8.5</f>
        <v>21.504999999999999</v>
      </c>
    </row>
    <row r="57" spans="1:36" ht="16.5" thickBot="1">
      <c r="A57" s="507" t="s">
        <v>2</v>
      </c>
      <c r="B57" s="508">
        <v>21075.32916666667</v>
      </c>
      <c r="C57" s="508">
        <v>22039.41</v>
      </c>
      <c r="D57" s="508">
        <f t="shared" ref="D57" si="109">C57-B57</f>
        <v>964.08083333332979</v>
      </c>
      <c r="E57" s="540"/>
      <c r="F57" s="594"/>
      <c r="G57" s="511">
        <f t="shared" ref="G57" si="110">E57*D57</f>
        <v>0</v>
      </c>
      <c r="H57" s="489">
        <f t="shared" ref="H57" si="111">G57/100*23.8</f>
        <v>0</v>
      </c>
      <c r="I57" s="489">
        <f t="shared" ref="I57" si="112">G57/100*2.88</f>
        <v>0</v>
      </c>
      <c r="J57" s="490">
        <v>21</v>
      </c>
      <c r="K57" s="489">
        <f t="shared" ref="K57" si="113">((G57/1000)*J57)+((G57/1000)*J57)*1%</f>
        <v>0</v>
      </c>
      <c r="L57" s="489">
        <f t="shared" ref="L57" si="114">(G57)/100*8.5</f>
        <v>0</v>
      </c>
      <c r="M57" s="526">
        <f t="shared" ref="M57" si="115">C57/13*12</f>
        <v>20344.07076923077</v>
      </c>
      <c r="N57" s="511">
        <f t="shared" si="26"/>
        <v>154.31</v>
      </c>
      <c r="O57" s="511">
        <f t="shared" ref="O57" si="116">N57</f>
        <v>154.31</v>
      </c>
      <c r="P57" s="511">
        <f t="shared" ref="P57" si="117">O57/13</f>
        <v>11.870000000000001</v>
      </c>
      <c r="Q57" s="540"/>
      <c r="R57" s="594"/>
      <c r="S57" s="832">
        <f t="shared" ref="S57" si="118">Q57*O57</f>
        <v>0</v>
      </c>
      <c r="T57" s="489">
        <f t="shared" ref="T57" si="119">S57/100*23.8</f>
        <v>0</v>
      </c>
      <c r="U57" s="489">
        <f t="shared" ref="U57" si="120">S57/100*2.88</f>
        <v>0</v>
      </c>
      <c r="V57" s="490">
        <v>21</v>
      </c>
      <c r="W57" s="489">
        <f t="shared" ref="W57" si="121">((S57/1000)*V57)+((S57/1000)*V57)*1%</f>
        <v>0</v>
      </c>
      <c r="X57" s="489">
        <f t="shared" ref="X57" si="122">(S57)/100*8.5</f>
        <v>0</v>
      </c>
      <c r="Z57" s="506" t="s">
        <v>2</v>
      </c>
      <c r="AA57" s="495">
        <v>23</v>
      </c>
      <c r="AB57" s="495">
        <f t="shared" ref="AB57" si="123">AA57*12</f>
        <v>276</v>
      </c>
      <c r="AC57" s="540"/>
      <c r="AD57" s="594"/>
      <c r="AE57" s="832">
        <f t="shared" ref="AE57" si="124">AC57*AB57</f>
        <v>0</v>
      </c>
      <c r="AF57" s="489">
        <f t="shared" ref="AF57" si="125">AE57/100*23.8</f>
        <v>0</v>
      </c>
      <c r="AG57" s="489"/>
      <c r="AH57" s="490">
        <v>21</v>
      </c>
      <c r="AI57" s="489">
        <f t="shared" ref="AI57" si="126">((AE57/1000)*AH57)+((AE57/1000)*AH57)*1%</f>
        <v>0</v>
      </c>
      <c r="AJ57" s="489">
        <f t="shared" ref="AJ57" si="127">(AE57)/100*8.5</f>
        <v>0</v>
      </c>
    </row>
    <row r="58" spans="1:36" ht="121.5" thickBot="1">
      <c r="A58" s="507" t="s">
        <v>2</v>
      </c>
      <c r="B58" s="508">
        <v>21075.32916666667</v>
      </c>
      <c r="C58" s="508">
        <v>22039.41</v>
      </c>
      <c r="D58" s="508">
        <f t="shared" si="92"/>
        <v>964.08083333332979</v>
      </c>
      <c r="E58" s="540">
        <f>6/12</f>
        <v>0.5</v>
      </c>
      <c r="F58" s="594" t="s">
        <v>718</v>
      </c>
      <c r="G58" s="511">
        <f t="shared" si="93"/>
        <v>482.0404166666649</v>
      </c>
      <c r="H58" s="489">
        <f t="shared" si="94"/>
        <v>114.72561916666626</v>
      </c>
      <c r="I58" s="489">
        <f t="shared" si="95"/>
        <v>13.88276399999995</v>
      </c>
      <c r="J58" s="490">
        <v>5</v>
      </c>
      <c r="K58" s="489">
        <f t="shared" si="96"/>
        <v>2.434304104166658</v>
      </c>
      <c r="L58" s="489">
        <f t="shared" si="97"/>
        <v>40.973435416666518</v>
      </c>
      <c r="M58" s="526">
        <f t="shared" si="98"/>
        <v>20344.07076923077</v>
      </c>
      <c r="N58" s="511">
        <f t="shared" si="26"/>
        <v>154.31</v>
      </c>
      <c r="O58" s="511">
        <f t="shared" si="12"/>
        <v>154.31</v>
      </c>
      <c r="P58" s="511">
        <f t="shared" si="99"/>
        <v>11.870000000000001</v>
      </c>
      <c r="Q58" s="540">
        <f>6/12</f>
        <v>0.5</v>
      </c>
      <c r="R58" s="594" t="s">
        <v>718</v>
      </c>
      <c r="S58" s="832">
        <f t="shared" si="100"/>
        <v>77.155000000000001</v>
      </c>
      <c r="T58" s="489">
        <f t="shared" si="101"/>
        <v>18.36289</v>
      </c>
      <c r="U58" s="489">
        <f t="shared" si="102"/>
        <v>2.2220639999999996</v>
      </c>
      <c r="V58" s="490">
        <v>5</v>
      </c>
      <c r="W58" s="489">
        <f t="shared" si="103"/>
        <v>0.38963274999999997</v>
      </c>
      <c r="X58" s="489">
        <f t="shared" si="104"/>
        <v>6.5581749999999994</v>
      </c>
      <c r="Z58" s="506" t="s">
        <v>2</v>
      </c>
      <c r="AA58" s="495">
        <v>23</v>
      </c>
      <c r="AB58" s="495">
        <f t="shared" si="88"/>
        <v>276</v>
      </c>
      <c r="AC58" s="540">
        <f>6/12</f>
        <v>0.5</v>
      </c>
      <c r="AD58" s="594" t="s">
        <v>718</v>
      </c>
      <c r="AE58" s="832">
        <f t="shared" si="105"/>
        <v>138</v>
      </c>
      <c r="AF58" s="489">
        <f t="shared" si="106"/>
        <v>32.844000000000001</v>
      </c>
      <c r="AG58" s="489"/>
      <c r="AH58" s="490">
        <v>5</v>
      </c>
      <c r="AI58" s="489">
        <f t="shared" si="107"/>
        <v>0.69690000000000007</v>
      </c>
      <c r="AJ58" s="489">
        <f t="shared" si="108"/>
        <v>11.729999999999999</v>
      </c>
    </row>
    <row r="59" spans="1:36" ht="121.5" thickBot="1">
      <c r="A59" s="507" t="s">
        <v>2</v>
      </c>
      <c r="B59" s="508">
        <v>21075.32916666667</v>
      </c>
      <c r="C59" s="508">
        <v>22039.41</v>
      </c>
      <c r="D59" s="508">
        <f t="shared" si="92"/>
        <v>964.08083333332979</v>
      </c>
      <c r="E59" s="540">
        <f>6/12</f>
        <v>0.5</v>
      </c>
      <c r="F59" s="594" t="s">
        <v>731</v>
      </c>
      <c r="G59" s="511">
        <f t="shared" si="93"/>
        <v>482.0404166666649</v>
      </c>
      <c r="H59" s="489">
        <f t="shared" si="94"/>
        <v>114.72561916666626</v>
      </c>
      <c r="I59" s="489">
        <f t="shared" si="95"/>
        <v>13.88276399999995</v>
      </c>
      <c r="J59" s="490">
        <v>5</v>
      </c>
      <c r="K59" s="489">
        <f t="shared" si="96"/>
        <v>2.434304104166658</v>
      </c>
      <c r="L59" s="489">
        <f t="shared" si="97"/>
        <v>40.973435416666518</v>
      </c>
      <c r="M59" s="526">
        <f t="shared" si="98"/>
        <v>20344.07076923077</v>
      </c>
      <c r="N59" s="511">
        <f t="shared" si="26"/>
        <v>154.31</v>
      </c>
      <c r="O59" s="511">
        <f t="shared" si="12"/>
        <v>154.31</v>
      </c>
      <c r="P59" s="511">
        <f t="shared" si="99"/>
        <v>11.870000000000001</v>
      </c>
      <c r="Q59" s="540">
        <f>6/12</f>
        <v>0.5</v>
      </c>
      <c r="R59" s="594" t="s">
        <v>731</v>
      </c>
      <c r="S59" s="832">
        <f t="shared" si="100"/>
        <v>77.155000000000001</v>
      </c>
      <c r="T59" s="489">
        <f t="shared" si="101"/>
        <v>18.36289</v>
      </c>
      <c r="U59" s="489">
        <f t="shared" si="102"/>
        <v>2.2220639999999996</v>
      </c>
      <c r="V59" s="490">
        <v>5</v>
      </c>
      <c r="W59" s="489">
        <f t="shared" si="103"/>
        <v>0.38963274999999997</v>
      </c>
      <c r="X59" s="489">
        <f t="shared" si="104"/>
        <v>6.5581749999999994</v>
      </c>
      <c r="Z59" s="506" t="s">
        <v>2</v>
      </c>
      <c r="AA59" s="495">
        <v>23</v>
      </c>
      <c r="AB59" s="495">
        <f t="shared" si="88"/>
        <v>276</v>
      </c>
      <c r="AC59" s="540">
        <f>6/12</f>
        <v>0.5</v>
      </c>
      <c r="AD59" s="594" t="s">
        <v>731</v>
      </c>
      <c r="AE59" s="832">
        <f t="shared" si="105"/>
        <v>138</v>
      </c>
      <c r="AF59" s="489">
        <f t="shared" si="106"/>
        <v>32.844000000000001</v>
      </c>
      <c r="AG59" s="489"/>
      <c r="AH59" s="490">
        <v>5</v>
      </c>
      <c r="AI59" s="489">
        <f t="shared" si="107"/>
        <v>0.69690000000000007</v>
      </c>
      <c r="AJ59" s="489">
        <f t="shared" si="108"/>
        <v>11.729999999999999</v>
      </c>
    </row>
    <row r="60" spans="1:36" ht="16.5" thickBot="1">
      <c r="A60" s="507" t="s">
        <v>157</v>
      </c>
      <c r="B60" s="508">
        <v>21577.681666666667</v>
      </c>
      <c r="C60" s="508">
        <v>22565.03</v>
      </c>
      <c r="D60" s="508">
        <f t="shared" si="0"/>
        <v>987.34833333333154</v>
      </c>
      <c r="E60" s="509">
        <v>1</v>
      </c>
      <c r="F60" s="510" t="s">
        <v>393</v>
      </c>
      <c r="G60" s="511">
        <f t="shared" si="1"/>
        <v>987.34833333333154</v>
      </c>
      <c r="H60" s="489">
        <f t="shared" si="2"/>
        <v>234.9889033333329</v>
      </c>
      <c r="I60" s="489">
        <f t="shared" si="3"/>
        <v>28.435631999999945</v>
      </c>
      <c r="J60" s="490">
        <v>12</v>
      </c>
      <c r="K60" s="489">
        <f t="shared" si="4"/>
        <v>11.966661799999978</v>
      </c>
      <c r="L60" s="491">
        <f>(G45)/100*0</f>
        <v>0</v>
      </c>
      <c r="M60" s="526">
        <f t="shared" si="15"/>
        <v>20829.258461538459</v>
      </c>
      <c r="N60" s="511">
        <f>12.15*13</f>
        <v>157.95000000000002</v>
      </c>
      <c r="O60" s="511">
        <f t="shared" si="12"/>
        <v>157.95000000000002</v>
      </c>
      <c r="P60" s="511">
        <f t="shared" si="5"/>
        <v>12.150000000000002</v>
      </c>
      <c r="Q60" s="509">
        <v>1</v>
      </c>
      <c r="R60" s="512" t="s">
        <v>393</v>
      </c>
      <c r="S60" s="832">
        <f t="shared" si="6"/>
        <v>157.95000000000002</v>
      </c>
      <c r="T60" s="489">
        <f t="shared" si="7"/>
        <v>37.592100000000002</v>
      </c>
      <c r="U60" s="489">
        <f t="shared" si="8"/>
        <v>4.5489600000000001</v>
      </c>
      <c r="V60" s="490">
        <v>12</v>
      </c>
      <c r="W60" s="489">
        <f t="shared" si="13"/>
        <v>1.9143539999999999</v>
      </c>
      <c r="X60" s="491">
        <f>(S45)/100*0</f>
        <v>0</v>
      </c>
      <c r="Z60" s="495" t="s">
        <v>157</v>
      </c>
      <c r="AA60" s="495">
        <v>22</v>
      </c>
      <c r="AB60" s="495">
        <f t="shared" si="9"/>
        <v>264</v>
      </c>
      <c r="AC60" s="509">
        <v>1</v>
      </c>
      <c r="AD60" s="512" t="s">
        <v>393</v>
      </c>
      <c r="AE60" s="832">
        <f t="shared" si="10"/>
        <v>264</v>
      </c>
      <c r="AF60" s="489">
        <f t="shared" si="11"/>
        <v>62.832000000000008</v>
      </c>
      <c r="AG60" s="489"/>
      <c r="AH60" s="490">
        <v>12</v>
      </c>
      <c r="AI60" s="489">
        <f t="shared" si="14"/>
        <v>3.1996800000000003</v>
      </c>
      <c r="AJ60" s="491">
        <f>(AE44)/100*0</f>
        <v>0</v>
      </c>
    </row>
    <row r="61" spans="1:36" ht="16.5" thickBot="1">
      <c r="A61" s="507" t="s">
        <v>157</v>
      </c>
      <c r="B61" s="508">
        <v>21577.681666666667</v>
      </c>
      <c r="C61" s="508">
        <v>22565.03</v>
      </c>
      <c r="D61" s="508">
        <f t="shared" si="0"/>
        <v>987.34833333333154</v>
      </c>
      <c r="E61" s="509">
        <v>0.5</v>
      </c>
      <c r="F61" s="510" t="s">
        <v>394</v>
      </c>
      <c r="G61" s="511">
        <f t="shared" si="1"/>
        <v>493.67416666666577</v>
      </c>
      <c r="H61" s="489">
        <f t="shared" si="2"/>
        <v>117.49445166666645</v>
      </c>
      <c r="I61" s="489">
        <f t="shared" si="3"/>
        <v>14.217815999999972</v>
      </c>
      <c r="J61" s="490">
        <v>23</v>
      </c>
      <c r="K61" s="489">
        <f t="shared" si="4"/>
        <v>11.468050891666646</v>
      </c>
      <c r="L61" s="489">
        <f t="shared" ref="L61:L72" si="128">(G61)/100*8.5</f>
        <v>41.962304166666591</v>
      </c>
      <c r="M61" s="526">
        <f t="shared" si="15"/>
        <v>20829.258461538459</v>
      </c>
      <c r="N61" s="511">
        <f t="shared" ref="N61:N63" si="129">12.15*13</f>
        <v>157.95000000000002</v>
      </c>
      <c r="O61" s="511">
        <f t="shared" si="12"/>
        <v>157.95000000000002</v>
      </c>
      <c r="P61" s="511">
        <f t="shared" si="5"/>
        <v>12.150000000000002</v>
      </c>
      <c r="Q61" s="509">
        <v>0.5</v>
      </c>
      <c r="R61" s="512" t="s">
        <v>394</v>
      </c>
      <c r="S61" s="832">
        <f t="shared" si="6"/>
        <v>78.975000000000009</v>
      </c>
      <c r="T61" s="489">
        <f t="shared" si="7"/>
        <v>18.796050000000001</v>
      </c>
      <c r="U61" s="489">
        <f t="shared" si="8"/>
        <v>2.2744800000000001</v>
      </c>
      <c r="V61" s="490">
        <v>23</v>
      </c>
      <c r="W61" s="489">
        <f t="shared" si="13"/>
        <v>1.8345892500000003</v>
      </c>
      <c r="X61" s="489">
        <f t="shared" ref="X61:X72" si="130">(S61)/100*8.5</f>
        <v>6.7128750000000004</v>
      </c>
      <c r="Z61" s="495" t="s">
        <v>157</v>
      </c>
      <c r="AA61" s="495">
        <v>22</v>
      </c>
      <c r="AB61" s="495">
        <f t="shared" si="9"/>
        <v>264</v>
      </c>
      <c r="AC61" s="509">
        <v>0.5</v>
      </c>
      <c r="AD61" s="512" t="s">
        <v>394</v>
      </c>
      <c r="AE61" s="832">
        <f t="shared" si="10"/>
        <v>132</v>
      </c>
      <c r="AF61" s="489">
        <f t="shared" si="11"/>
        <v>31.416000000000004</v>
      </c>
      <c r="AG61" s="489"/>
      <c r="AH61" s="490">
        <v>23</v>
      </c>
      <c r="AI61" s="489">
        <f t="shared" si="14"/>
        <v>3.06636</v>
      </c>
      <c r="AJ61" s="489">
        <f t="shared" si="21"/>
        <v>11.22</v>
      </c>
    </row>
    <row r="62" spans="1:36" ht="16.5" thickBot="1">
      <c r="A62" s="507" t="s">
        <v>157</v>
      </c>
      <c r="B62" s="508">
        <v>21577.681666666667</v>
      </c>
      <c r="C62" s="508">
        <v>22565.03</v>
      </c>
      <c r="D62" s="508">
        <f>C62-B62</f>
        <v>987.34833333333154</v>
      </c>
      <c r="E62" s="509">
        <f>5/12</f>
        <v>0.41666666666666669</v>
      </c>
      <c r="F62" s="510" t="s">
        <v>395</v>
      </c>
      <c r="G62" s="511">
        <f>E62*D62</f>
        <v>411.39513888888814</v>
      </c>
      <c r="H62" s="489">
        <f>G62/100*23.8</f>
        <v>97.912043055555372</v>
      </c>
      <c r="I62" s="489">
        <f>G62/100*2.88</f>
        <v>11.848179999999978</v>
      </c>
      <c r="J62" s="490">
        <v>9</v>
      </c>
      <c r="K62" s="489">
        <f>((G62/1000)*J62)+((G62/1000)*J62)*1%</f>
        <v>3.7395818124999929</v>
      </c>
      <c r="L62" s="489">
        <f>(G62)/100*8.5</f>
        <v>34.968586805555489</v>
      </c>
      <c r="M62" s="526">
        <f t="shared" si="15"/>
        <v>20829.258461538459</v>
      </c>
      <c r="N62" s="511">
        <f t="shared" si="129"/>
        <v>157.95000000000002</v>
      </c>
      <c r="O62" s="511">
        <f t="shared" si="12"/>
        <v>157.95000000000002</v>
      </c>
      <c r="P62" s="511">
        <f>O62/13</f>
        <v>12.150000000000002</v>
      </c>
      <c r="Q62" s="509">
        <f>5/12</f>
        <v>0.41666666666666669</v>
      </c>
      <c r="R62" s="510" t="s">
        <v>395</v>
      </c>
      <c r="S62" s="832">
        <f>Q62*O62</f>
        <v>65.812500000000014</v>
      </c>
      <c r="T62" s="489">
        <f>S62/100*23.8</f>
        <v>15.663375000000006</v>
      </c>
      <c r="U62" s="489">
        <f>S62/100*2.88</f>
        <v>1.8954000000000004</v>
      </c>
      <c r="V62" s="490">
        <v>9</v>
      </c>
      <c r="W62" s="489">
        <f>((S62/1000)*V62)+((S62/1000)*V62)*1%</f>
        <v>0.59823562500000016</v>
      </c>
      <c r="X62" s="489">
        <f>(S62)/100*8.5</f>
        <v>5.5940625000000015</v>
      </c>
      <c r="Z62" s="495" t="s">
        <v>157</v>
      </c>
      <c r="AA62" s="495">
        <v>22</v>
      </c>
      <c r="AB62" s="495">
        <f>AA62*12</f>
        <v>264</v>
      </c>
      <c r="AC62" s="509">
        <f>5/12</f>
        <v>0.41666666666666669</v>
      </c>
      <c r="AD62" s="510" t="s">
        <v>395</v>
      </c>
      <c r="AE62" s="832">
        <f>AC62*AB62</f>
        <v>110</v>
      </c>
      <c r="AF62" s="489">
        <f>AE62/100*23.8</f>
        <v>26.180000000000003</v>
      </c>
      <c r="AG62" s="489"/>
      <c r="AH62" s="490">
        <v>9</v>
      </c>
      <c r="AI62" s="489">
        <f>((AE62/1000)*AH62)+((AE62/1000)*AH62)*1%</f>
        <v>0.99990000000000001</v>
      </c>
      <c r="AJ62" s="489">
        <f>(AE62)/100*8.5</f>
        <v>9.3500000000000014</v>
      </c>
    </row>
    <row r="63" spans="1:36" ht="16.5" thickBot="1">
      <c r="A63" s="507" t="s">
        <v>157</v>
      </c>
      <c r="B63" s="508">
        <v>21577.681666666667</v>
      </c>
      <c r="C63" s="508">
        <v>22565.03</v>
      </c>
      <c r="D63" s="508">
        <f>C63-B63</f>
        <v>987.34833333333154</v>
      </c>
      <c r="E63" s="509">
        <f>7/12</f>
        <v>0.58333333333333337</v>
      </c>
      <c r="F63" s="510" t="s">
        <v>395</v>
      </c>
      <c r="G63" s="511">
        <f>E63*D63</f>
        <v>575.9531944444434</v>
      </c>
      <c r="H63" s="489">
        <f>G63/100*23.8</f>
        <v>137.07686027777751</v>
      </c>
      <c r="I63" s="489">
        <f>G63/100*2.88</f>
        <v>16.587451999999967</v>
      </c>
      <c r="J63" s="490">
        <v>5</v>
      </c>
      <c r="K63" s="489">
        <f>((G63/1000)*J63)+((G63/1000)*J63)*1%</f>
        <v>2.908563631944439</v>
      </c>
      <c r="L63" s="489">
        <f>(G63)/100*8.5</f>
        <v>48.956021527777686</v>
      </c>
      <c r="M63" s="526">
        <f t="shared" ref="M63" si="131">C63/13*12</f>
        <v>20829.258461538459</v>
      </c>
      <c r="N63" s="511">
        <f t="shared" si="129"/>
        <v>157.95000000000002</v>
      </c>
      <c r="O63" s="511">
        <f t="shared" ref="O63" si="132">N63</f>
        <v>157.95000000000002</v>
      </c>
      <c r="P63" s="511">
        <f>O63/13</f>
        <v>12.150000000000002</v>
      </c>
      <c r="Q63" s="509">
        <f>7/12</f>
        <v>0.58333333333333337</v>
      </c>
      <c r="R63" s="510" t="s">
        <v>395</v>
      </c>
      <c r="S63" s="832">
        <f>Q63*O63</f>
        <v>92.137500000000017</v>
      </c>
      <c r="T63" s="489">
        <f>S63/100*23.8</f>
        <v>21.928725000000004</v>
      </c>
      <c r="U63" s="489">
        <f>S63/100*2.88</f>
        <v>2.6535600000000006</v>
      </c>
      <c r="V63" s="490">
        <v>5</v>
      </c>
      <c r="W63" s="489">
        <f>((S63/1000)*V63)+((S63/1000)*V63)*1%</f>
        <v>0.46529437500000004</v>
      </c>
      <c r="X63" s="489">
        <f>(S63)/100*8.5</f>
        <v>7.831687500000001</v>
      </c>
      <c r="Z63" s="495" t="s">
        <v>157</v>
      </c>
      <c r="AA63" s="495">
        <v>22</v>
      </c>
      <c r="AB63" s="495">
        <f>AA63*12</f>
        <v>264</v>
      </c>
      <c r="AC63" s="509">
        <f>7/12</f>
        <v>0.58333333333333337</v>
      </c>
      <c r="AD63" s="510" t="s">
        <v>395</v>
      </c>
      <c r="AE63" s="832">
        <f>AC63*AB63</f>
        <v>154</v>
      </c>
      <c r="AF63" s="489">
        <f>AE63/100*23.8</f>
        <v>36.652000000000001</v>
      </c>
      <c r="AG63" s="489"/>
      <c r="AH63" s="490">
        <v>5</v>
      </c>
      <c r="AI63" s="489">
        <f>((AE63/1000)*AH63)+((AE63/1000)*AH63)*1%</f>
        <v>0.77770000000000006</v>
      </c>
      <c r="AJ63" s="489">
        <f>(AE63)/100*8.5</f>
        <v>13.09</v>
      </c>
    </row>
    <row r="64" spans="1:36" ht="16.5" thickBot="1">
      <c r="A64" s="507" t="s">
        <v>159</v>
      </c>
      <c r="B64" s="508">
        <v>22178.671666666665</v>
      </c>
      <c r="C64" s="508">
        <v>23193.97</v>
      </c>
      <c r="D64" s="508">
        <f t="shared" si="0"/>
        <v>1015.2983333333359</v>
      </c>
      <c r="E64" s="509">
        <v>1</v>
      </c>
      <c r="F64" s="510" t="s">
        <v>396</v>
      </c>
      <c r="G64" s="511">
        <f t="shared" si="1"/>
        <v>1015.2983333333359</v>
      </c>
      <c r="H64" s="489">
        <f t="shared" si="2"/>
        <v>241.64100333333397</v>
      </c>
      <c r="I64" s="489">
        <f t="shared" si="3"/>
        <v>29.240592000000074</v>
      </c>
      <c r="J64" s="490">
        <v>5</v>
      </c>
      <c r="K64" s="489">
        <f t="shared" si="4"/>
        <v>5.1272565833333461</v>
      </c>
      <c r="L64" s="489">
        <f t="shared" si="128"/>
        <v>86.300358333333563</v>
      </c>
      <c r="M64" s="526">
        <f t="shared" si="15"/>
        <v>21409.818461538463</v>
      </c>
      <c r="N64" s="511">
        <f>12.49*13</f>
        <v>162.37</v>
      </c>
      <c r="O64" s="511">
        <f t="shared" si="12"/>
        <v>162.37</v>
      </c>
      <c r="P64" s="511">
        <f t="shared" si="5"/>
        <v>12.49</v>
      </c>
      <c r="Q64" s="509">
        <v>1</v>
      </c>
      <c r="R64" s="512" t="s">
        <v>396</v>
      </c>
      <c r="S64" s="832">
        <f t="shared" si="6"/>
        <v>162.37</v>
      </c>
      <c r="T64" s="489">
        <f t="shared" si="7"/>
        <v>38.644060000000003</v>
      </c>
      <c r="U64" s="489">
        <f t="shared" si="8"/>
        <v>4.6762560000000004</v>
      </c>
      <c r="V64" s="490">
        <v>5</v>
      </c>
      <c r="W64" s="489">
        <f t="shared" si="13"/>
        <v>0.8199685000000001</v>
      </c>
      <c r="X64" s="489">
        <f t="shared" si="130"/>
        <v>13.801450000000001</v>
      </c>
      <c r="Z64" s="495" t="s">
        <v>323</v>
      </c>
      <c r="AA64" s="495">
        <v>20</v>
      </c>
      <c r="AB64" s="495">
        <f t="shared" si="9"/>
        <v>240</v>
      </c>
      <c r="AC64" s="509">
        <v>1</v>
      </c>
      <c r="AD64" s="512" t="s">
        <v>396</v>
      </c>
      <c r="AE64" s="832">
        <f t="shared" si="10"/>
        <v>240</v>
      </c>
      <c r="AF64" s="489">
        <f t="shared" si="11"/>
        <v>57.12</v>
      </c>
      <c r="AG64" s="489"/>
      <c r="AH64" s="490">
        <v>5</v>
      </c>
      <c r="AI64" s="489">
        <f t="shared" si="14"/>
        <v>1.212</v>
      </c>
      <c r="AJ64" s="489">
        <f t="shared" si="21"/>
        <v>20.399999999999999</v>
      </c>
    </row>
    <row r="65" spans="1:37" ht="16.5" thickBot="1">
      <c r="A65" s="507" t="s">
        <v>159</v>
      </c>
      <c r="B65" s="508">
        <v>22178.671666666665</v>
      </c>
      <c r="C65" s="508">
        <v>23193.97</v>
      </c>
      <c r="D65" s="508">
        <f t="shared" si="0"/>
        <v>1015.2983333333359</v>
      </c>
      <c r="E65" s="509">
        <v>1</v>
      </c>
      <c r="F65" s="510" t="s">
        <v>397</v>
      </c>
      <c r="G65" s="511">
        <f t="shared" si="1"/>
        <v>1015.2983333333359</v>
      </c>
      <c r="H65" s="489">
        <f t="shared" si="2"/>
        <v>241.64100333333397</v>
      </c>
      <c r="I65" s="489">
        <f t="shared" si="3"/>
        <v>29.240592000000074</v>
      </c>
      <c r="J65" s="490">
        <v>23</v>
      </c>
      <c r="K65" s="489">
        <f t="shared" si="4"/>
        <v>23.585380283333393</v>
      </c>
      <c r="L65" s="489">
        <f t="shared" si="128"/>
        <v>86.300358333333563</v>
      </c>
      <c r="M65" s="526">
        <f t="shared" si="15"/>
        <v>21409.818461538463</v>
      </c>
      <c r="N65" s="511">
        <f t="shared" ref="N65:N68" si="133">12.49*13</f>
        <v>162.37</v>
      </c>
      <c r="O65" s="511">
        <f t="shared" si="12"/>
        <v>162.37</v>
      </c>
      <c r="P65" s="511">
        <f t="shared" si="5"/>
        <v>12.49</v>
      </c>
      <c r="Q65" s="509">
        <v>1</v>
      </c>
      <c r="R65" s="512" t="s">
        <v>397</v>
      </c>
      <c r="S65" s="832">
        <f t="shared" si="6"/>
        <v>162.37</v>
      </c>
      <c r="T65" s="489">
        <f t="shared" si="7"/>
        <v>38.644060000000003</v>
      </c>
      <c r="U65" s="489">
        <f t="shared" si="8"/>
        <v>4.6762560000000004</v>
      </c>
      <c r="V65" s="490">
        <v>23</v>
      </c>
      <c r="W65" s="489">
        <f t="shared" si="13"/>
        <v>3.7718551000000002</v>
      </c>
      <c r="X65" s="489">
        <f t="shared" si="130"/>
        <v>13.801450000000001</v>
      </c>
      <c r="Z65" s="495" t="s">
        <v>323</v>
      </c>
      <c r="AA65" s="495">
        <v>20</v>
      </c>
      <c r="AB65" s="495">
        <f t="shared" si="9"/>
        <v>240</v>
      </c>
      <c r="AC65" s="509">
        <v>1</v>
      </c>
      <c r="AD65" s="512" t="s">
        <v>397</v>
      </c>
      <c r="AE65" s="832">
        <f t="shared" si="10"/>
        <v>240</v>
      </c>
      <c r="AF65" s="489">
        <f t="shared" si="11"/>
        <v>57.12</v>
      </c>
      <c r="AG65" s="489"/>
      <c r="AH65" s="490">
        <v>23</v>
      </c>
      <c r="AI65" s="489">
        <f t="shared" si="14"/>
        <v>5.5751999999999997</v>
      </c>
      <c r="AJ65" s="489">
        <f t="shared" si="21"/>
        <v>20.399999999999999</v>
      </c>
    </row>
    <row r="66" spans="1:37" ht="16.5" thickBot="1">
      <c r="A66" s="507" t="s">
        <v>159</v>
      </c>
      <c r="B66" s="508">
        <v>22178.671666666665</v>
      </c>
      <c r="C66" s="508">
        <v>23193.97</v>
      </c>
      <c r="D66" s="508">
        <f>C66-B66</f>
        <v>1015.2983333333359</v>
      </c>
      <c r="E66" s="509">
        <v>1</v>
      </c>
      <c r="F66" s="510" t="s">
        <v>398</v>
      </c>
      <c r="G66" s="511">
        <f>E66*D66</f>
        <v>1015.2983333333359</v>
      </c>
      <c r="H66" s="489">
        <f>G66/100*23.8</f>
        <v>241.64100333333397</v>
      </c>
      <c r="I66" s="489">
        <f>G66/100*2.88</f>
        <v>29.240592000000074</v>
      </c>
      <c r="J66" s="490">
        <v>5</v>
      </c>
      <c r="K66" s="489">
        <f>((G66/1000)*J66)+((G66/1000)*J66)*1%</f>
        <v>5.1272565833333461</v>
      </c>
      <c r="L66" s="489">
        <f>(G66)/100*8.5</f>
        <v>86.300358333333563</v>
      </c>
      <c r="M66" s="526">
        <f t="shared" si="15"/>
        <v>21409.818461538463</v>
      </c>
      <c r="N66" s="511">
        <f t="shared" si="133"/>
        <v>162.37</v>
      </c>
      <c r="O66" s="511">
        <f t="shared" si="12"/>
        <v>162.37</v>
      </c>
      <c r="P66" s="511">
        <f>O66/13</f>
        <v>12.49</v>
      </c>
      <c r="Q66" s="509">
        <v>1</v>
      </c>
      <c r="R66" s="512" t="s">
        <v>398</v>
      </c>
      <c r="S66" s="832">
        <f>Q66*O66</f>
        <v>162.37</v>
      </c>
      <c r="T66" s="489">
        <f>S66/100*23.8</f>
        <v>38.644060000000003</v>
      </c>
      <c r="U66" s="489">
        <f>S66/100*2.88</f>
        <v>4.6762560000000004</v>
      </c>
      <c r="V66" s="490">
        <v>5</v>
      </c>
      <c r="W66" s="489">
        <f>((S66/1000)*V66)+((S66/1000)*V66)*1%</f>
        <v>0.8199685000000001</v>
      </c>
      <c r="X66" s="489">
        <f>(S66)/100*8.5</f>
        <v>13.801450000000001</v>
      </c>
      <c r="Z66" s="495" t="s">
        <v>323</v>
      </c>
      <c r="AA66" s="495">
        <v>20</v>
      </c>
      <c r="AB66" s="495">
        <f>AA66*12</f>
        <v>240</v>
      </c>
      <c r="AC66" s="509">
        <v>1</v>
      </c>
      <c r="AD66" s="512" t="s">
        <v>398</v>
      </c>
      <c r="AE66" s="832">
        <f>AC66*AB66</f>
        <v>240</v>
      </c>
      <c r="AF66" s="489">
        <f>AE66/100*23.8</f>
        <v>57.12</v>
      </c>
      <c r="AG66" s="489"/>
      <c r="AH66" s="490">
        <v>5</v>
      </c>
      <c r="AI66" s="489">
        <f>((AE66/1000)*AH66)+((AE66/1000)*AH66)*1%</f>
        <v>1.212</v>
      </c>
      <c r="AJ66" s="489">
        <f>(AE66)/100*8.5</f>
        <v>20.399999999999999</v>
      </c>
    </row>
    <row r="67" spans="1:37" ht="16.5" thickBot="1">
      <c r="A67" s="507" t="s">
        <v>159</v>
      </c>
      <c r="B67" s="508">
        <v>22178.671666666665</v>
      </c>
      <c r="C67" s="508">
        <v>23193.97</v>
      </c>
      <c r="D67" s="508">
        <f>C67-B67</f>
        <v>1015.2983333333359</v>
      </c>
      <c r="E67" s="509">
        <v>1</v>
      </c>
      <c r="F67" s="510" t="s">
        <v>399</v>
      </c>
      <c r="G67" s="511">
        <f>E67*D67</f>
        <v>1015.2983333333359</v>
      </c>
      <c r="H67" s="489">
        <f>G67/100*23.8</f>
        <v>241.64100333333397</v>
      </c>
      <c r="I67" s="489">
        <f>G67/100*2.88</f>
        <v>29.240592000000074</v>
      </c>
      <c r="J67" s="490">
        <v>9</v>
      </c>
      <c r="K67" s="489">
        <f>((G67/1000)*J67)+((G67/1000)*J67)*1%</f>
        <v>9.2290618500000221</v>
      </c>
      <c r="L67" s="489">
        <f>(G67)/100*8.5</f>
        <v>86.300358333333563</v>
      </c>
      <c r="M67" s="526">
        <f t="shared" si="15"/>
        <v>21409.818461538463</v>
      </c>
      <c r="N67" s="511">
        <f t="shared" si="133"/>
        <v>162.37</v>
      </c>
      <c r="O67" s="511">
        <f t="shared" si="12"/>
        <v>162.37</v>
      </c>
      <c r="P67" s="511">
        <f>O67/13</f>
        <v>12.49</v>
      </c>
      <c r="Q67" s="509">
        <v>1</v>
      </c>
      <c r="R67" s="512" t="s">
        <v>399</v>
      </c>
      <c r="S67" s="832">
        <f>Q67*O67</f>
        <v>162.37</v>
      </c>
      <c r="T67" s="489">
        <f>S67/100*23.8</f>
        <v>38.644060000000003</v>
      </c>
      <c r="U67" s="489">
        <f>S67/100*2.88</f>
        <v>4.6762560000000004</v>
      </c>
      <c r="V67" s="490">
        <v>9</v>
      </c>
      <c r="W67" s="489">
        <f>((S67/1000)*V67)+((S67/1000)*V67)*1%</f>
        <v>1.4759433000000002</v>
      </c>
      <c r="X67" s="489">
        <f>(S67)/100*8.5</f>
        <v>13.801450000000001</v>
      </c>
      <c r="Z67" s="495" t="s">
        <v>323</v>
      </c>
      <c r="AA67" s="495">
        <v>20</v>
      </c>
      <c r="AB67" s="495">
        <f>AA67*12</f>
        <v>240</v>
      </c>
      <c r="AC67" s="509">
        <v>1</v>
      </c>
      <c r="AD67" s="512" t="s">
        <v>399</v>
      </c>
      <c r="AE67" s="832">
        <f>AC67*AB67</f>
        <v>240</v>
      </c>
      <c r="AF67" s="489">
        <f>AE67/100*23.8</f>
        <v>57.12</v>
      </c>
      <c r="AG67" s="489"/>
      <c r="AH67" s="490">
        <v>9</v>
      </c>
      <c r="AI67" s="489">
        <f>((AE67/1000)*AH67)+((AE67/1000)*AH67)*1%</f>
        <v>2.1816</v>
      </c>
      <c r="AJ67" s="489">
        <f>(AE67)/100*8.5</f>
        <v>20.399999999999999</v>
      </c>
    </row>
    <row r="68" spans="1:37" ht="16.5" thickBot="1">
      <c r="A68" s="507" t="s">
        <v>159</v>
      </c>
      <c r="B68" s="508">
        <v>22178.671666666665</v>
      </c>
      <c r="C68" s="508">
        <v>23193.97</v>
      </c>
      <c r="D68" s="508">
        <f>C68-B68</f>
        <v>1015.2983333333359</v>
      </c>
      <c r="E68" s="509">
        <v>1</v>
      </c>
      <c r="F68" s="510" t="s">
        <v>400</v>
      </c>
      <c r="G68" s="511">
        <f>E68*D68</f>
        <v>1015.2983333333359</v>
      </c>
      <c r="H68" s="489">
        <f>G68/100*23.8</f>
        <v>241.64100333333397</v>
      </c>
      <c r="I68" s="489">
        <f>G68/100*2.88</f>
        <v>29.240592000000074</v>
      </c>
      <c r="J68" s="490">
        <v>9</v>
      </c>
      <c r="K68" s="489">
        <f>((G68/1000)*J68)+((G68/1000)*J68)*1%</f>
        <v>9.2290618500000221</v>
      </c>
      <c r="L68" s="489">
        <f>(G68)/100*8.5</f>
        <v>86.300358333333563</v>
      </c>
      <c r="M68" s="526">
        <f t="shared" si="15"/>
        <v>21409.818461538463</v>
      </c>
      <c r="N68" s="511">
        <f t="shared" si="133"/>
        <v>162.37</v>
      </c>
      <c r="O68" s="511">
        <f t="shared" si="12"/>
        <v>162.37</v>
      </c>
      <c r="P68" s="511">
        <f>O68/13</f>
        <v>12.49</v>
      </c>
      <c r="Q68" s="509">
        <v>1</v>
      </c>
      <c r="R68" s="512" t="s">
        <v>400</v>
      </c>
      <c r="S68" s="832">
        <f>Q68*O68</f>
        <v>162.37</v>
      </c>
      <c r="T68" s="489">
        <f>S68/100*23.8</f>
        <v>38.644060000000003</v>
      </c>
      <c r="U68" s="489">
        <f>S68/100*2.88</f>
        <v>4.6762560000000004</v>
      </c>
      <c r="V68" s="490">
        <v>9</v>
      </c>
      <c r="W68" s="489">
        <f>((S68/1000)*V68)+((S68/1000)*V68)*1%</f>
        <v>1.4759433000000002</v>
      </c>
      <c r="X68" s="489">
        <f>(S68)/100*8.5</f>
        <v>13.801450000000001</v>
      </c>
      <c r="Z68" s="495" t="s">
        <v>323</v>
      </c>
      <c r="AA68" s="495">
        <v>20</v>
      </c>
      <c r="AB68" s="495">
        <f>AA68*12</f>
        <v>240</v>
      </c>
      <c r="AC68" s="509">
        <v>1</v>
      </c>
      <c r="AD68" s="512" t="s">
        <v>400</v>
      </c>
      <c r="AE68" s="832">
        <f>AC68*AB68</f>
        <v>240</v>
      </c>
      <c r="AF68" s="489">
        <f>AE68/100*23.8</f>
        <v>57.12</v>
      </c>
      <c r="AG68" s="489"/>
      <c r="AH68" s="490">
        <v>9</v>
      </c>
      <c r="AI68" s="489">
        <f>((AE68/1000)*AH68)+((AE68/1000)*AH68)*1%</f>
        <v>2.1816</v>
      </c>
      <c r="AJ68" s="489">
        <f>(AE68)/100*8.5</f>
        <v>20.399999999999999</v>
      </c>
    </row>
    <row r="69" spans="1:37" ht="16.5" thickBot="1">
      <c r="A69" s="507" t="s">
        <v>110</v>
      </c>
      <c r="B69" s="508">
        <v>22880.119166666667</v>
      </c>
      <c r="C69" s="508">
        <v>23926.62</v>
      </c>
      <c r="D69" s="508">
        <f t="shared" si="0"/>
        <v>1046.5008333333317</v>
      </c>
      <c r="E69" s="509">
        <v>1</v>
      </c>
      <c r="F69" s="510" t="s">
        <v>401</v>
      </c>
      <c r="G69" s="511">
        <f t="shared" si="1"/>
        <v>1046.5008333333317</v>
      </c>
      <c r="H69" s="489">
        <f t="shared" si="2"/>
        <v>249.06719833333295</v>
      </c>
      <c r="I69" s="489">
        <f t="shared" si="3"/>
        <v>30.139223999999952</v>
      </c>
      <c r="J69" s="490">
        <v>5</v>
      </c>
      <c r="K69" s="489">
        <f t="shared" si="4"/>
        <v>5.2848292083333241</v>
      </c>
      <c r="L69" s="489">
        <f t="shared" si="128"/>
        <v>88.952570833333198</v>
      </c>
      <c r="M69" s="526">
        <f t="shared" si="15"/>
        <v>22086.110769230771</v>
      </c>
      <c r="N69" s="511">
        <f>12.88*13</f>
        <v>167.44</v>
      </c>
      <c r="O69" s="511">
        <f t="shared" si="12"/>
        <v>167.44</v>
      </c>
      <c r="P69" s="511">
        <f t="shared" si="5"/>
        <v>12.879999999999999</v>
      </c>
      <c r="Q69" s="509">
        <v>1</v>
      </c>
      <c r="R69" s="512" t="s">
        <v>401</v>
      </c>
      <c r="S69" s="832">
        <f t="shared" si="6"/>
        <v>167.44</v>
      </c>
      <c r="T69" s="489">
        <f t="shared" si="7"/>
        <v>39.850719999999995</v>
      </c>
      <c r="U69" s="489">
        <f t="shared" si="8"/>
        <v>4.8222719999999999</v>
      </c>
      <c r="V69" s="490">
        <v>5</v>
      </c>
      <c r="W69" s="489">
        <f t="shared" si="13"/>
        <v>0.8455720000000001</v>
      </c>
      <c r="X69" s="489">
        <f t="shared" si="130"/>
        <v>14.232399999999998</v>
      </c>
      <c r="Z69" s="495" t="s">
        <v>324</v>
      </c>
      <c r="AA69" s="495">
        <v>18</v>
      </c>
      <c r="AB69" s="495">
        <f t="shared" si="9"/>
        <v>216</v>
      </c>
      <c r="AC69" s="509">
        <v>1</v>
      </c>
      <c r="AD69" s="512" t="s">
        <v>401</v>
      </c>
      <c r="AE69" s="832">
        <f t="shared" si="10"/>
        <v>216</v>
      </c>
      <c r="AF69" s="489">
        <f t="shared" si="11"/>
        <v>51.408000000000008</v>
      </c>
      <c r="AG69" s="489"/>
      <c r="AH69" s="490">
        <v>5</v>
      </c>
      <c r="AI69" s="489">
        <f t="shared" si="14"/>
        <v>1.0908</v>
      </c>
      <c r="AJ69" s="489">
        <f t="shared" si="21"/>
        <v>18.36</v>
      </c>
    </row>
    <row r="70" spans="1:37" ht="16.5" thickBot="1">
      <c r="A70" s="507" t="s">
        <v>110</v>
      </c>
      <c r="B70" s="508">
        <v>22880.119166666667</v>
      </c>
      <c r="C70" s="508">
        <v>23926.62</v>
      </c>
      <c r="D70" s="508">
        <f t="shared" si="0"/>
        <v>1046.5008333333317</v>
      </c>
      <c r="E70" s="509">
        <v>1</v>
      </c>
      <c r="F70" s="510" t="s">
        <v>402</v>
      </c>
      <c r="G70" s="511">
        <f t="shared" si="1"/>
        <v>1046.5008333333317</v>
      </c>
      <c r="H70" s="489">
        <f t="shared" si="2"/>
        <v>249.06719833333295</v>
      </c>
      <c r="I70" s="489">
        <f t="shared" si="3"/>
        <v>30.139223999999952</v>
      </c>
      <c r="J70" s="490">
        <v>12</v>
      </c>
      <c r="K70" s="489">
        <f t="shared" si="4"/>
        <v>12.68359009999998</v>
      </c>
      <c r="L70" s="491">
        <f>(G65)/100*0</f>
        <v>0</v>
      </c>
      <c r="M70" s="526">
        <f t="shared" si="15"/>
        <v>22086.110769230771</v>
      </c>
      <c r="N70" s="511">
        <f>12.88*13</f>
        <v>167.44</v>
      </c>
      <c r="O70" s="511">
        <f t="shared" si="12"/>
        <v>167.44</v>
      </c>
      <c r="P70" s="511">
        <f t="shared" si="5"/>
        <v>12.879999999999999</v>
      </c>
      <c r="Q70" s="509">
        <v>1</v>
      </c>
      <c r="R70" s="512" t="s">
        <v>402</v>
      </c>
      <c r="S70" s="832">
        <f t="shared" si="6"/>
        <v>167.44</v>
      </c>
      <c r="T70" s="489">
        <f t="shared" si="7"/>
        <v>39.850719999999995</v>
      </c>
      <c r="U70" s="489">
        <f t="shared" si="8"/>
        <v>4.8222719999999999</v>
      </c>
      <c r="V70" s="490">
        <v>12</v>
      </c>
      <c r="W70" s="489">
        <f t="shared" si="13"/>
        <v>2.0293728</v>
      </c>
      <c r="X70" s="491">
        <f>(S65)/100*0</f>
        <v>0</v>
      </c>
      <c r="Z70" s="495" t="s">
        <v>324</v>
      </c>
      <c r="AA70" s="495">
        <v>18</v>
      </c>
      <c r="AB70" s="495">
        <f t="shared" si="9"/>
        <v>216</v>
      </c>
      <c r="AC70" s="509">
        <v>1</v>
      </c>
      <c r="AD70" s="512" t="s">
        <v>402</v>
      </c>
      <c r="AE70" s="832">
        <f t="shared" si="10"/>
        <v>216</v>
      </c>
      <c r="AF70" s="489">
        <f t="shared" si="11"/>
        <v>51.408000000000008</v>
      </c>
      <c r="AG70" s="489"/>
      <c r="AH70" s="490">
        <v>12</v>
      </c>
      <c r="AI70" s="489">
        <f t="shared" si="14"/>
        <v>2.6179200000000002</v>
      </c>
      <c r="AJ70" s="491">
        <f>(AE64)/100*0</f>
        <v>0</v>
      </c>
    </row>
    <row r="71" spans="1:37" ht="16.5" hidden="1" thickBot="1">
      <c r="A71" s="507" t="s">
        <v>110</v>
      </c>
      <c r="B71" s="508">
        <v>22880.119166666667</v>
      </c>
      <c r="C71" s="508">
        <v>23926.62</v>
      </c>
      <c r="D71" s="508">
        <f t="shared" si="0"/>
        <v>1046.5008333333317</v>
      </c>
      <c r="E71" s="509"/>
      <c r="F71" s="510"/>
      <c r="G71" s="511">
        <f t="shared" si="1"/>
        <v>0</v>
      </c>
      <c r="H71" s="489">
        <f t="shared" si="2"/>
        <v>0</v>
      </c>
      <c r="I71" s="489">
        <f t="shared" si="3"/>
        <v>0</v>
      </c>
      <c r="J71" s="490"/>
      <c r="K71" s="489">
        <f t="shared" si="4"/>
        <v>0</v>
      </c>
      <c r="L71" s="489">
        <f t="shared" si="128"/>
        <v>0</v>
      </c>
      <c r="M71" s="526">
        <f t="shared" si="15"/>
        <v>22086.110769230771</v>
      </c>
      <c r="N71" s="511">
        <f t="shared" ref="N71:N73" si="134">M71*0.7/100</f>
        <v>154.60277538461537</v>
      </c>
      <c r="O71" s="511">
        <f t="shared" ref="O71:O105" si="135">N71</f>
        <v>154.60277538461537</v>
      </c>
      <c r="P71" s="511">
        <f t="shared" si="5"/>
        <v>11.892521183431951</v>
      </c>
      <c r="Q71" s="509"/>
      <c r="R71" s="512"/>
      <c r="S71" s="832">
        <f t="shared" si="6"/>
        <v>0</v>
      </c>
      <c r="T71" s="489">
        <f t="shared" si="7"/>
        <v>0</v>
      </c>
      <c r="U71" s="489">
        <f t="shared" si="8"/>
        <v>0</v>
      </c>
      <c r="V71" s="490"/>
      <c r="W71" s="489">
        <f t="shared" si="13"/>
        <v>0</v>
      </c>
      <c r="X71" s="489">
        <f t="shared" si="130"/>
        <v>0</v>
      </c>
      <c r="Z71" s="495" t="s">
        <v>324</v>
      </c>
      <c r="AA71" s="495">
        <v>18</v>
      </c>
      <c r="AB71" s="495">
        <f t="shared" si="9"/>
        <v>216</v>
      </c>
      <c r="AC71" s="509"/>
      <c r="AD71" s="512"/>
      <c r="AE71" s="832">
        <f t="shared" si="10"/>
        <v>0</v>
      </c>
      <c r="AF71" s="489">
        <f t="shared" si="11"/>
        <v>0</v>
      </c>
      <c r="AG71" s="489"/>
      <c r="AH71" s="490"/>
      <c r="AI71" s="489">
        <f t="shared" si="14"/>
        <v>0</v>
      </c>
      <c r="AJ71" s="489">
        <f t="shared" si="21"/>
        <v>0</v>
      </c>
    </row>
    <row r="72" spans="1:37" ht="16.5" hidden="1" thickBot="1">
      <c r="A72" s="507" t="s">
        <v>110</v>
      </c>
      <c r="B72" s="508">
        <v>22880.119166666667</v>
      </c>
      <c r="C72" s="508">
        <v>23926.62</v>
      </c>
      <c r="D72" s="508">
        <f t="shared" si="0"/>
        <v>1046.5008333333317</v>
      </c>
      <c r="E72" s="509"/>
      <c r="F72" s="510"/>
      <c r="G72" s="511">
        <f t="shared" si="1"/>
        <v>0</v>
      </c>
      <c r="H72" s="489">
        <f t="shared" si="2"/>
        <v>0</v>
      </c>
      <c r="I72" s="489">
        <f t="shared" si="3"/>
        <v>0</v>
      </c>
      <c r="J72" s="490"/>
      <c r="K72" s="489">
        <f t="shared" si="4"/>
        <v>0</v>
      </c>
      <c r="L72" s="489">
        <f t="shared" si="128"/>
        <v>0</v>
      </c>
      <c r="M72" s="526">
        <f t="shared" si="15"/>
        <v>22086.110769230771</v>
      </c>
      <c r="N72" s="511">
        <f t="shared" si="134"/>
        <v>154.60277538461537</v>
      </c>
      <c r="O72" s="511">
        <f t="shared" si="135"/>
        <v>154.60277538461537</v>
      </c>
      <c r="P72" s="511">
        <f t="shared" si="5"/>
        <v>11.892521183431951</v>
      </c>
      <c r="Q72" s="509"/>
      <c r="R72" s="512"/>
      <c r="S72" s="832">
        <f t="shared" si="6"/>
        <v>0</v>
      </c>
      <c r="T72" s="489">
        <f t="shared" si="7"/>
        <v>0</v>
      </c>
      <c r="U72" s="489">
        <f t="shared" si="8"/>
        <v>0</v>
      </c>
      <c r="V72" s="490"/>
      <c r="W72" s="489">
        <f t="shared" si="13"/>
        <v>0</v>
      </c>
      <c r="X72" s="489">
        <f t="shared" si="130"/>
        <v>0</v>
      </c>
      <c r="Z72" s="495" t="s">
        <v>324</v>
      </c>
      <c r="AA72" s="495">
        <v>18</v>
      </c>
      <c r="AB72" s="495">
        <f t="shared" si="9"/>
        <v>216</v>
      </c>
      <c r="AC72" s="509"/>
      <c r="AD72" s="512"/>
      <c r="AE72" s="832">
        <f t="shared" si="10"/>
        <v>0</v>
      </c>
      <c r="AF72" s="489">
        <f t="shared" si="11"/>
        <v>0</v>
      </c>
      <c r="AG72" s="489"/>
      <c r="AH72" s="490"/>
      <c r="AI72" s="489">
        <f t="shared" si="14"/>
        <v>0</v>
      </c>
      <c r="AJ72" s="489">
        <f t="shared" si="21"/>
        <v>0</v>
      </c>
    </row>
    <row r="73" spans="1:37" ht="16.5" hidden="1" thickBot="1">
      <c r="A73" s="507" t="s">
        <v>110</v>
      </c>
      <c r="B73" s="508">
        <v>22880.119166666667</v>
      </c>
      <c r="C73" s="508">
        <v>23926.62</v>
      </c>
      <c r="D73" s="508">
        <f t="shared" si="0"/>
        <v>1046.5008333333317</v>
      </c>
      <c r="E73" s="509"/>
      <c r="F73" s="512"/>
      <c r="G73" s="511">
        <f t="shared" si="1"/>
        <v>0</v>
      </c>
      <c r="H73" s="489">
        <f t="shared" si="2"/>
        <v>0</v>
      </c>
      <c r="I73" s="489">
        <f t="shared" si="3"/>
        <v>0</v>
      </c>
      <c r="J73" s="490"/>
      <c r="K73" s="489">
        <f t="shared" si="4"/>
        <v>0</v>
      </c>
      <c r="L73" s="491">
        <f>(G13)/100*0</f>
        <v>0</v>
      </c>
      <c r="M73" s="526">
        <f t="shared" si="15"/>
        <v>22086.110769230771</v>
      </c>
      <c r="N73" s="511">
        <f t="shared" si="134"/>
        <v>154.60277538461537</v>
      </c>
      <c r="O73" s="511">
        <f t="shared" si="135"/>
        <v>154.60277538461537</v>
      </c>
      <c r="P73" s="511">
        <f t="shared" si="5"/>
        <v>11.892521183431951</v>
      </c>
      <c r="Q73" s="509"/>
      <c r="R73" s="512"/>
      <c r="S73" s="832">
        <f t="shared" si="6"/>
        <v>0</v>
      </c>
      <c r="T73" s="489">
        <f t="shared" si="7"/>
        <v>0</v>
      </c>
      <c r="U73" s="489">
        <f t="shared" si="8"/>
        <v>0</v>
      </c>
      <c r="V73" s="490"/>
      <c r="W73" s="489">
        <f t="shared" si="13"/>
        <v>0</v>
      </c>
      <c r="X73" s="491">
        <f>(S73)/100*0</f>
        <v>0</v>
      </c>
      <c r="Z73" s="495" t="s">
        <v>324</v>
      </c>
      <c r="AA73" s="495">
        <v>18</v>
      </c>
      <c r="AB73" s="495">
        <f t="shared" si="9"/>
        <v>216</v>
      </c>
      <c r="AC73" s="509"/>
      <c r="AD73" s="512"/>
      <c r="AE73" s="832">
        <f t="shared" si="10"/>
        <v>0</v>
      </c>
      <c r="AF73" s="489">
        <f t="shared" si="11"/>
        <v>0</v>
      </c>
      <c r="AG73" s="489"/>
      <c r="AH73" s="490"/>
      <c r="AI73" s="489">
        <f t="shared" si="14"/>
        <v>0</v>
      </c>
      <c r="AJ73" s="491">
        <f>(AE73)/100*0</f>
        <v>0</v>
      </c>
    </row>
    <row r="74" spans="1:37" ht="16.5" thickBot="1">
      <c r="A74" s="507" t="s">
        <v>99</v>
      </c>
      <c r="B74" s="508">
        <v>23726.43</v>
      </c>
      <c r="C74" s="508">
        <v>24811.8</v>
      </c>
      <c r="D74" s="508">
        <f t="shared" si="0"/>
        <v>1085.369999999999</v>
      </c>
      <c r="E74" s="509">
        <v>1</v>
      </c>
      <c r="F74" s="512" t="s">
        <v>403</v>
      </c>
      <c r="G74" s="511">
        <f t="shared" si="1"/>
        <v>1085.369999999999</v>
      </c>
      <c r="H74" s="489">
        <f t="shared" si="2"/>
        <v>258.31805999999978</v>
      </c>
      <c r="I74" s="489">
        <f t="shared" si="3"/>
        <v>31.258655999999966</v>
      </c>
      <c r="J74" s="490">
        <v>5</v>
      </c>
      <c r="K74" s="489">
        <f t="shared" si="4"/>
        <v>5.4811184999999956</v>
      </c>
      <c r="L74" s="489">
        <f>(G74)/100*8.5</f>
        <v>92.256449999999916</v>
      </c>
      <c r="M74" s="526">
        <f t="shared" si="15"/>
        <v>22903.199999999997</v>
      </c>
      <c r="N74" s="511">
        <f>13.36*13</f>
        <v>173.68</v>
      </c>
      <c r="O74" s="511">
        <f t="shared" si="135"/>
        <v>173.68</v>
      </c>
      <c r="P74" s="511">
        <f t="shared" si="5"/>
        <v>13.360000000000001</v>
      </c>
      <c r="Q74" s="509">
        <v>1</v>
      </c>
      <c r="R74" s="512" t="s">
        <v>403</v>
      </c>
      <c r="S74" s="832">
        <f t="shared" si="6"/>
        <v>173.68</v>
      </c>
      <c r="T74" s="489">
        <f t="shared" si="7"/>
        <v>41.335840000000005</v>
      </c>
      <c r="U74" s="489">
        <f t="shared" si="8"/>
        <v>5.0019840000000002</v>
      </c>
      <c r="V74" s="490">
        <v>5</v>
      </c>
      <c r="W74" s="489">
        <f t="shared" si="13"/>
        <v>0.87708400000000009</v>
      </c>
      <c r="X74" s="489">
        <f>(S74)/100*8.5</f>
        <v>14.7628</v>
      </c>
      <c r="Z74" s="495" t="s">
        <v>114</v>
      </c>
      <c r="AA74" s="495">
        <v>17</v>
      </c>
      <c r="AB74" s="495">
        <f t="shared" si="9"/>
        <v>204</v>
      </c>
      <c r="AC74" s="509">
        <v>1</v>
      </c>
      <c r="AD74" s="512" t="s">
        <v>403</v>
      </c>
      <c r="AE74" s="832">
        <f t="shared" si="10"/>
        <v>204</v>
      </c>
      <c r="AF74" s="489">
        <f t="shared" si="11"/>
        <v>48.552</v>
      </c>
      <c r="AG74" s="489"/>
      <c r="AH74" s="490">
        <v>5</v>
      </c>
      <c r="AI74" s="489">
        <f t="shared" si="14"/>
        <v>1.0302</v>
      </c>
      <c r="AJ74" s="489">
        <f>(AE74)/100*8.5</f>
        <v>17.34</v>
      </c>
    </row>
    <row r="75" spans="1:37" ht="16.5" thickBot="1">
      <c r="A75" s="507" t="s">
        <v>99</v>
      </c>
      <c r="B75" s="508">
        <v>23726.43</v>
      </c>
      <c r="C75" s="508">
        <v>24811.8</v>
      </c>
      <c r="D75" s="508">
        <f t="shared" si="0"/>
        <v>1085.369999999999</v>
      </c>
      <c r="E75" s="509">
        <v>1</v>
      </c>
      <c r="F75" s="512" t="s">
        <v>404</v>
      </c>
      <c r="G75" s="511">
        <f t="shared" si="1"/>
        <v>1085.369999999999</v>
      </c>
      <c r="H75" s="489">
        <f t="shared" si="2"/>
        <v>258.31805999999978</v>
      </c>
      <c r="I75" s="489">
        <f t="shared" si="3"/>
        <v>31.258655999999966</v>
      </c>
      <c r="J75" s="490">
        <v>9</v>
      </c>
      <c r="K75" s="489">
        <f t="shared" si="4"/>
        <v>9.8660132999999917</v>
      </c>
      <c r="L75" s="489">
        <f t="shared" ref="L75:L81" si="136">(G75)/100*8.5</f>
        <v>92.256449999999916</v>
      </c>
      <c r="M75" s="526">
        <f t="shared" si="15"/>
        <v>22903.199999999997</v>
      </c>
      <c r="N75" s="511">
        <f t="shared" ref="N75:N83" si="137">13.36*13</f>
        <v>173.68</v>
      </c>
      <c r="O75" s="511">
        <f t="shared" si="135"/>
        <v>173.68</v>
      </c>
      <c r="P75" s="511">
        <f t="shared" si="5"/>
        <v>13.360000000000001</v>
      </c>
      <c r="Q75" s="509">
        <v>1</v>
      </c>
      <c r="R75" s="512" t="s">
        <v>404</v>
      </c>
      <c r="S75" s="832">
        <f t="shared" si="6"/>
        <v>173.68</v>
      </c>
      <c r="T75" s="489">
        <f t="shared" si="7"/>
        <v>41.335840000000005</v>
      </c>
      <c r="U75" s="489">
        <f t="shared" si="8"/>
        <v>5.0019840000000002</v>
      </c>
      <c r="V75" s="490">
        <v>9</v>
      </c>
      <c r="W75" s="489">
        <f t="shared" si="13"/>
        <v>1.5787512000000001</v>
      </c>
      <c r="X75" s="489">
        <f t="shared" ref="X75:X81" si="138">(S75)/100*8.5</f>
        <v>14.7628</v>
      </c>
      <c r="Z75" s="495" t="s">
        <v>114</v>
      </c>
      <c r="AA75" s="495">
        <v>17</v>
      </c>
      <c r="AB75" s="495">
        <f t="shared" si="9"/>
        <v>204</v>
      </c>
      <c r="AC75" s="509">
        <v>1</v>
      </c>
      <c r="AD75" s="512" t="s">
        <v>404</v>
      </c>
      <c r="AE75" s="832">
        <f t="shared" si="10"/>
        <v>204</v>
      </c>
      <c r="AF75" s="489">
        <f t="shared" si="11"/>
        <v>48.552</v>
      </c>
      <c r="AG75" s="489"/>
      <c r="AH75" s="490">
        <v>9</v>
      </c>
      <c r="AI75" s="489">
        <f t="shared" si="14"/>
        <v>1.8543599999999998</v>
      </c>
      <c r="AJ75" s="489">
        <f t="shared" ref="AJ75:AJ81" si="139">(AE75)/100*8.5</f>
        <v>17.34</v>
      </c>
    </row>
    <row r="76" spans="1:37" ht="16.5" thickBot="1">
      <c r="A76" s="507" t="s">
        <v>99</v>
      </c>
      <c r="B76" s="508">
        <v>23726.43</v>
      </c>
      <c r="C76" s="508">
        <v>24811.8</v>
      </c>
      <c r="D76" s="508">
        <f t="shared" si="0"/>
        <v>1085.369999999999</v>
      </c>
      <c r="E76" s="509">
        <v>1</v>
      </c>
      <c r="F76" s="512" t="s">
        <v>405</v>
      </c>
      <c r="G76" s="511">
        <f t="shared" si="1"/>
        <v>1085.369999999999</v>
      </c>
      <c r="H76" s="489">
        <f t="shared" si="2"/>
        <v>258.31805999999978</v>
      </c>
      <c r="I76" s="489">
        <f t="shared" si="3"/>
        <v>31.258655999999966</v>
      </c>
      <c r="J76" s="490">
        <v>12</v>
      </c>
      <c r="K76" s="489">
        <f t="shared" si="4"/>
        <v>13.154684399999988</v>
      </c>
      <c r="L76" s="491">
        <f>(G71)/100*0</f>
        <v>0</v>
      </c>
      <c r="M76" s="526">
        <f t="shared" si="15"/>
        <v>22903.199999999997</v>
      </c>
      <c r="N76" s="511">
        <f t="shared" si="137"/>
        <v>173.68</v>
      </c>
      <c r="O76" s="511">
        <f t="shared" si="135"/>
        <v>173.68</v>
      </c>
      <c r="P76" s="511">
        <f t="shared" si="5"/>
        <v>13.360000000000001</v>
      </c>
      <c r="Q76" s="509">
        <v>1</v>
      </c>
      <c r="R76" s="512" t="s">
        <v>405</v>
      </c>
      <c r="S76" s="832">
        <f t="shared" si="6"/>
        <v>173.68</v>
      </c>
      <c r="T76" s="489">
        <f t="shared" si="7"/>
        <v>41.335840000000005</v>
      </c>
      <c r="U76" s="489">
        <f t="shared" si="8"/>
        <v>5.0019840000000002</v>
      </c>
      <c r="V76" s="490">
        <v>12</v>
      </c>
      <c r="W76" s="489">
        <f t="shared" si="13"/>
        <v>2.1050015999999996</v>
      </c>
      <c r="X76" s="491">
        <f>(S71)/100*0</f>
        <v>0</v>
      </c>
      <c r="Z76" s="495" t="s">
        <v>114</v>
      </c>
      <c r="AA76" s="495">
        <v>17</v>
      </c>
      <c r="AB76" s="495">
        <f t="shared" si="9"/>
        <v>204</v>
      </c>
      <c r="AC76" s="509">
        <v>1</v>
      </c>
      <c r="AD76" s="512" t="s">
        <v>405</v>
      </c>
      <c r="AE76" s="832">
        <f t="shared" si="10"/>
        <v>204</v>
      </c>
      <c r="AF76" s="489">
        <f t="shared" si="11"/>
        <v>48.552</v>
      </c>
      <c r="AG76" s="489"/>
      <c r="AH76" s="490">
        <v>12</v>
      </c>
      <c r="AI76" s="489">
        <f t="shared" si="14"/>
        <v>2.47248</v>
      </c>
      <c r="AJ76" s="491">
        <f>(AE70)/100*0</f>
        <v>0</v>
      </c>
      <c r="AK76" s="542" t="s">
        <v>566</v>
      </c>
    </row>
    <row r="77" spans="1:37" ht="16.5" thickBot="1">
      <c r="A77" s="507" t="s">
        <v>99</v>
      </c>
      <c r="B77" s="508">
        <v>23726.43</v>
      </c>
      <c r="C77" s="508">
        <v>24811.8</v>
      </c>
      <c r="D77" s="508">
        <f t="shared" si="0"/>
        <v>1085.369999999999</v>
      </c>
      <c r="E77" s="509"/>
      <c r="F77" s="512"/>
      <c r="G77" s="511">
        <f t="shared" si="1"/>
        <v>0</v>
      </c>
      <c r="H77" s="489">
        <f t="shared" si="2"/>
        <v>0</v>
      </c>
      <c r="I77" s="489">
        <f t="shared" si="3"/>
        <v>0</v>
      </c>
      <c r="J77" s="490"/>
      <c r="K77" s="489">
        <f t="shared" si="4"/>
        <v>0</v>
      </c>
      <c r="L77" s="489">
        <f t="shared" si="136"/>
        <v>0</v>
      </c>
      <c r="M77" s="526">
        <f t="shared" si="15"/>
        <v>22903.199999999997</v>
      </c>
      <c r="N77" s="511">
        <f t="shared" si="137"/>
        <v>173.68</v>
      </c>
      <c r="O77" s="511">
        <f t="shared" si="135"/>
        <v>173.68</v>
      </c>
      <c r="P77" s="511">
        <f t="shared" si="5"/>
        <v>13.360000000000001</v>
      </c>
      <c r="Q77" s="509"/>
      <c r="R77" s="512"/>
      <c r="S77" s="832">
        <f t="shared" si="6"/>
        <v>0</v>
      </c>
      <c r="T77" s="489">
        <f t="shared" si="7"/>
        <v>0</v>
      </c>
      <c r="U77" s="489">
        <f t="shared" si="8"/>
        <v>0</v>
      </c>
      <c r="V77" s="490"/>
      <c r="W77" s="489">
        <f t="shared" si="13"/>
        <v>0</v>
      </c>
      <c r="X77" s="489">
        <f t="shared" si="138"/>
        <v>0</v>
      </c>
      <c r="Z77" s="495" t="s">
        <v>114</v>
      </c>
      <c r="AA77" s="495">
        <v>17</v>
      </c>
      <c r="AB77" s="495">
        <f t="shared" si="9"/>
        <v>204</v>
      </c>
      <c r="AC77" s="509"/>
      <c r="AD77" s="512"/>
      <c r="AE77" s="832">
        <f t="shared" si="10"/>
        <v>0</v>
      </c>
      <c r="AF77" s="489">
        <f t="shared" si="11"/>
        <v>0</v>
      </c>
      <c r="AG77" s="489"/>
      <c r="AH77" s="490"/>
      <c r="AI77" s="489">
        <f t="shared" si="14"/>
        <v>0</v>
      </c>
      <c r="AJ77" s="489">
        <f t="shared" si="139"/>
        <v>0</v>
      </c>
    </row>
    <row r="78" spans="1:37" ht="16.5" thickBot="1">
      <c r="A78" s="507" t="s">
        <v>99</v>
      </c>
      <c r="B78" s="508">
        <v>23726.43</v>
      </c>
      <c r="C78" s="508">
        <v>24811.8</v>
      </c>
      <c r="D78" s="508">
        <f t="shared" si="0"/>
        <v>1085.369999999999</v>
      </c>
      <c r="E78" s="509">
        <f>3/12</f>
        <v>0.25</v>
      </c>
      <c r="F78" s="512" t="s">
        <v>407</v>
      </c>
      <c r="G78" s="511">
        <f t="shared" si="1"/>
        <v>271.34249999999975</v>
      </c>
      <c r="H78" s="489">
        <f t="shared" si="2"/>
        <v>64.579514999999944</v>
      </c>
      <c r="I78" s="489">
        <f t="shared" si="3"/>
        <v>7.8146639999999916</v>
      </c>
      <c r="J78" s="490">
        <v>5</v>
      </c>
      <c r="K78" s="489">
        <f t="shared" si="4"/>
        <v>1.3702796249999989</v>
      </c>
      <c r="L78" s="489">
        <f t="shared" si="136"/>
        <v>23.064112499999979</v>
      </c>
      <c r="M78" s="526">
        <f t="shared" si="15"/>
        <v>22903.199999999997</v>
      </c>
      <c r="N78" s="511">
        <f t="shared" si="137"/>
        <v>173.68</v>
      </c>
      <c r="O78" s="511">
        <f t="shared" si="135"/>
        <v>173.68</v>
      </c>
      <c r="P78" s="511">
        <f t="shared" si="5"/>
        <v>13.360000000000001</v>
      </c>
      <c r="Q78" s="509">
        <f>3/12</f>
        <v>0.25</v>
      </c>
      <c r="R78" s="512" t="s">
        <v>407</v>
      </c>
      <c r="S78" s="832">
        <f t="shared" si="6"/>
        <v>43.42</v>
      </c>
      <c r="T78" s="489">
        <f t="shared" si="7"/>
        <v>10.333960000000001</v>
      </c>
      <c r="U78" s="489">
        <f t="shared" si="8"/>
        <v>1.2504960000000001</v>
      </c>
      <c r="V78" s="490">
        <v>5</v>
      </c>
      <c r="W78" s="489">
        <f t="shared" si="13"/>
        <v>0.21927100000000002</v>
      </c>
      <c r="X78" s="489">
        <f t="shared" si="138"/>
        <v>3.6907000000000001</v>
      </c>
      <c r="Z78" s="495" t="s">
        <v>114</v>
      </c>
      <c r="AA78" s="495">
        <v>17</v>
      </c>
      <c r="AB78" s="495">
        <f t="shared" si="9"/>
        <v>204</v>
      </c>
      <c r="AC78" s="509">
        <f>3/12</f>
        <v>0.25</v>
      </c>
      <c r="AD78" s="512" t="s">
        <v>407</v>
      </c>
      <c r="AE78" s="832">
        <f t="shared" si="10"/>
        <v>51</v>
      </c>
      <c r="AF78" s="489">
        <f t="shared" si="11"/>
        <v>12.138</v>
      </c>
      <c r="AG78" s="489"/>
      <c r="AH78" s="490">
        <v>5</v>
      </c>
      <c r="AI78" s="489">
        <f t="shared" si="14"/>
        <v>0.25755</v>
      </c>
      <c r="AJ78" s="489">
        <f t="shared" si="139"/>
        <v>4.335</v>
      </c>
    </row>
    <row r="79" spans="1:37" ht="16.5" thickBot="1">
      <c r="A79" s="507" t="s">
        <v>99</v>
      </c>
      <c r="B79" s="508">
        <v>23726.43</v>
      </c>
      <c r="C79" s="508">
        <v>24811.8</v>
      </c>
      <c r="D79" s="508">
        <f t="shared" si="0"/>
        <v>1085.369999999999</v>
      </c>
      <c r="E79" s="509">
        <v>0.75</v>
      </c>
      <c r="F79" s="512" t="s">
        <v>408</v>
      </c>
      <c r="G79" s="511">
        <f t="shared" si="1"/>
        <v>814.02749999999924</v>
      </c>
      <c r="H79" s="489">
        <f t="shared" si="2"/>
        <v>193.73854499999982</v>
      </c>
      <c r="I79" s="489">
        <f t="shared" si="3"/>
        <v>23.443991999999977</v>
      </c>
      <c r="J79" s="490">
        <v>5</v>
      </c>
      <c r="K79" s="489">
        <f t="shared" si="4"/>
        <v>4.1108388749999962</v>
      </c>
      <c r="L79" s="489">
        <f t="shared" si="136"/>
        <v>69.192337499999937</v>
      </c>
      <c r="M79" s="526">
        <f t="shared" si="15"/>
        <v>22903.199999999997</v>
      </c>
      <c r="N79" s="511">
        <f t="shared" si="137"/>
        <v>173.68</v>
      </c>
      <c r="O79" s="511">
        <f t="shared" si="135"/>
        <v>173.68</v>
      </c>
      <c r="P79" s="511">
        <f t="shared" si="5"/>
        <v>13.360000000000001</v>
      </c>
      <c r="Q79" s="509">
        <v>0.75</v>
      </c>
      <c r="R79" s="512" t="s">
        <v>408</v>
      </c>
      <c r="S79" s="832">
        <f t="shared" si="6"/>
        <v>130.26</v>
      </c>
      <c r="T79" s="489">
        <f t="shared" si="7"/>
        <v>31.00188</v>
      </c>
      <c r="U79" s="489">
        <f t="shared" si="8"/>
        <v>3.7514879999999997</v>
      </c>
      <c r="V79" s="490">
        <v>5</v>
      </c>
      <c r="W79" s="489">
        <f t="shared" si="13"/>
        <v>0.65781299999999998</v>
      </c>
      <c r="X79" s="489">
        <f>(S79)/100*8.5</f>
        <v>11.072099999999999</v>
      </c>
      <c r="Z79" s="495" t="s">
        <v>114</v>
      </c>
      <c r="AA79" s="495">
        <v>17</v>
      </c>
      <c r="AB79" s="495">
        <f t="shared" si="9"/>
        <v>204</v>
      </c>
      <c r="AC79" s="509">
        <v>0.75</v>
      </c>
      <c r="AD79" s="512" t="s">
        <v>408</v>
      </c>
      <c r="AE79" s="832">
        <f t="shared" si="10"/>
        <v>153</v>
      </c>
      <c r="AF79" s="489">
        <f t="shared" si="11"/>
        <v>36.414000000000001</v>
      </c>
      <c r="AG79" s="489"/>
      <c r="AH79" s="490">
        <v>5</v>
      </c>
      <c r="AI79" s="489">
        <f t="shared" si="14"/>
        <v>0.77265000000000006</v>
      </c>
      <c r="AJ79" s="489">
        <f t="shared" si="139"/>
        <v>13.005000000000001</v>
      </c>
    </row>
    <row r="80" spans="1:37" ht="16.5" thickBot="1">
      <c r="A80" s="507" t="s">
        <v>99</v>
      </c>
      <c r="B80" s="508">
        <v>23726.43</v>
      </c>
      <c r="C80" s="508">
        <v>24811.8</v>
      </c>
      <c r="D80" s="508">
        <f t="shared" ref="D80:D81" si="140">C80-B80</f>
        <v>1085.369999999999</v>
      </c>
      <c r="E80" s="509">
        <v>0.7</v>
      </c>
      <c r="F80" s="512" t="s">
        <v>409</v>
      </c>
      <c r="G80" s="511">
        <f t="shared" ref="G80:G81" si="141">E80*D80</f>
        <v>759.75899999999922</v>
      </c>
      <c r="H80" s="489">
        <f t="shared" ref="H80:H81" si="142">G80/100*23.8</f>
        <v>180.82264199999983</v>
      </c>
      <c r="I80" s="489">
        <f t="shared" ref="I80:I81" si="143">G80/100*2.88</f>
        <v>21.881059199999978</v>
      </c>
      <c r="J80" s="490">
        <v>12</v>
      </c>
      <c r="K80" s="489">
        <f t="shared" ref="K80:K81" si="144">((G80/1000)*J80)+((G80/1000)*J80)*1%</f>
        <v>9.2082790799999916</v>
      </c>
      <c r="L80" s="491">
        <f>(G75)/100*0</f>
        <v>0</v>
      </c>
      <c r="M80" s="526">
        <f t="shared" si="15"/>
        <v>22903.199999999997</v>
      </c>
      <c r="N80" s="511">
        <f t="shared" si="137"/>
        <v>173.68</v>
      </c>
      <c r="O80" s="511">
        <f t="shared" si="135"/>
        <v>173.68</v>
      </c>
      <c r="P80" s="511">
        <f t="shared" ref="P80:P81" si="145">O80/13</f>
        <v>13.360000000000001</v>
      </c>
      <c r="Q80" s="509">
        <v>0.7</v>
      </c>
      <c r="R80" s="512" t="s">
        <v>409</v>
      </c>
      <c r="S80" s="832">
        <f t="shared" ref="S80:S81" si="146">Q80*O80</f>
        <v>121.57599999999999</v>
      </c>
      <c r="T80" s="489">
        <f t="shared" ref="T80:T81" si="147">S80/100*23.8</f>
        <v>28.935088</v>
      </c>
      <c r="U80" s="489">
        <f t="shared" ref="U80:U81" si="148">S80/100*2.88</f>
        <v>3.5013887999999995</v>
      </c>
      <c r="V80" s="490">
        <v>12</v>
      </c>
      <c r="W80" s="489">
        <f t="shared" si="13"/>
        <v>1.4735011199999997</v>
      </c>
      <c r="X80" s="491">
        <f>(S80)/100*0</f>
        <v>0</v>
      </c>
      <c r="Z80" s="495" t="s">
        <v>114</v>
      </c>
      <c r="AA80" s="495">
        <v>17</v>
      </c>
      <c r="AB80" s="495">
        <f t="shared" ref="AB80:AB81" si="149">AA80*12</f>
        <v>204</v>
      </c>
      <c r="AC80" s="509">
        <v>0.7</v>
      </c>
      <c r="AD80" s="512" t="s">
        <v>409</v>
      </c>
      <c r="AE80" s="832">
        <f t="shared" ref="AE80:AE81" si="150">AC80*AB80</f>
        <v>142.79999999999998</v>
      </c>
      <c r="AF80" s="489">
        <f t="shared" ref="AF80:AF81" si="151">AE80/100*23.8</f>
        <v>33.986399999999996</v>
      </c>
      <c r="AG80" s="489"/>
      <c r="AH80" s="490">
        <v>12</v>
      </c>
      <c r="AI80" s="489">
        <f t="shared" si="14"/>
        <v>1.7307359999999998</v>
      </c>
      <c r="AJ80" s="491">
        <f>(AE80)/100*0</f>
        <v>0</v>
      </c>
    </row>
    <row r="81" spans="1:36" ht="16.5" thickBot="1">
      <c r="A81" s="507" t="s">
        <v>99</v>
      </c>
      <c r="B81" s="508">
        <v>23726.43</v>
      </c>
      <c r="C81" s="508">
        <v>24811.8</v>
      </c>
      <c r="D81" s="508">
        <f t="shared" si="140"/>
        <v>1085.369999999999</v>
      </c>
      <c r="E81" s="509"/>
      <c r="F81" s="512"/>
      <c r="G81" s="511">
        <f t="shared" si="141"/>
        <v>0</v>
      </c>
      <c r="H81" s="489">
        <f t="shared" si="142"/>
        <v>0</v>
      </c>
      <c r="I81" s="489">
        <f t="shared" si="143"/>
        <v>0</v>
      </c>
      <c r="J81" s="490"/>
      <c r="K81" s="489">
        <f t="shared" si="144"/>
        <v>0</v>
      </c>
      <c r="L81" s="489">
        <f t="shared" si="136"/>
        <v>0</v>
      </c>
      <c r="M81" s="526">
        <f t="shared" si="15"/>
        <v>22903.199999999997</v>
      </c>
      <c r="N81" s="511">
        <f t="shared" si="137"/>
        <v>173.68</v>
      </c>
      <c r="O81" s="511">
        <f t="shared" si="135"/>
        <v>173.68</v>
      </c>
      <c r="P81" s="511">
        <f t="shared" si="145"/>
        <v>13.360000000000001</v>
      </c>
      <c r="Q81" s="509"/>
      <c r="R81" s="512"/>
      <c r="S81" s="832">
        <f t="shared" si="146"/>
        <v>0</v>
      </c>
      <c r="T81" s="489">
        <f t="shared" si="147"/>
        <v>0</v>
      </c>
      <c r="U81" s="489">
        <f t="shared" si="148"/>
        <v>0</v>
      </c>
      <c r="V81" s="490"/>
      <c r="W81" s="489">
        <f t="shared" si="13"/>
        <v>0</v>
      </c>
      <c r="X81" s="489">
        <f t="shared" si="138"/>
        <v>0</v>
      </c>
      <c r="Z81" s="495" t="s">
        <v>114</v>
      </c>
      <c r="AA81" s="495">
        <v>17</v>
      </c>
      <c r="AB81" s="495">
        <f t="shared" si="149"/>
        <v>204</v>
      </c>
      <c r="AC81" s="509"/>
      <c r="AD81" s="512"/>
      <c r="AE81" s="832">
        <f t="shared" si="150"/>
        <v>0</v>
      </c>
      <c r="AF81" s="489">
        <f t="shared" si="151"/>
        <v>0</v>
      </c>
      <c r="AG81" s="489"/>
      <c r="AH81" s="490"/>
      <c r="AI81" s="489">
        <f t="shared" si="14"/>
        <v>0</v>
      </c>
      <c r="AJ81" s="489">
        <f t="shared" si="139"/>
        <v>0</v>
      </c>
    </row>
    <row r="82" spans="1:36" ht="16.5" thickBot="1">
      <c r="A82" s="507" t="s">
        <v>99</v>
      </c>
      <c r="B82" s="508">
        <v>23726.43</v>
      </c>
      <c r="C82" s="508">
        <v>24811.8</v>
      </c>
      <c r="D82" s="508">
        <f>C82-B82</f>
        <v>1085.369999999999</v>
      </c>
      <c r="E82" s="509"/>
      <c r="F82" s="512"/>
      <c r="G82" s="511">
        <f>E82*D82</f>
        <v>0</v>
      </c>
      <c r="H82" s="489">
        <f>G82/100*23.8</f>
        <v>0</v>
      </c>
      <c r="I82" s="489">
        <f>G82/100*2.88</f>
        <v>0</v>
      </c>
      <c r="J82" s="490"/>
      <c r="K82" s="489">
        <f>((G82/1000)*J82)+((G82/1000)*J82)*1%</f>
        <v>0</v>
      </c>
      <c r="L82" s="489">
        <f>(G82)/100*8.5</f>
        <v>0</v>
      </c>
      <c r="M82" s="526">
        <f t="shared" si="15"/>
        <v>22903.199999999997</v>
      </c>
      <c r="N82" s="511">
        <f t="shared" si="137"/>
        <v>173.68</v>
      </c>
      <c r="O82" s="511">
        <f t="shared" si="135"/>
        <v>173.68</v>
      </c>
      <c r="P82" s="511">
        <f>O82/13</f>
        <v>13.360000000000001</v>
      </c>
      <c r="Q82" s="509"/>
      <c r="R82" s="512"/>
      <c r="S82" s="832">
        <f>Q82*O82</f>
        <v>0</v>
      </c>
      <c r="T82" s="489">
        <f>S82/100*23.8</f>
        <v>0</v>
      </c>
      <c r="U82" s="489">
        <f>S82/100*2.88</f>
        <v>0</v>
      </c>
      <c r="V82" s="490"/>
      <c r="W82" s="489">
        <f>((S82/1000)*V82)+((S82/1000)*V82)*1%</f>
        <v>0</v>
      </c>
      <c r="X82" s="489">
        <f>(S82)/100*8.5</f>
        <v>0</v>
      </c>
      <c r="Z82" s="495" t="s">
        <v>114</v>
      </c>
      <c r="AA82" s="495">
        <v>17</v>
      </c>
      <c r="AB82" s="495">
        <f>AA82*12</f>
        <v>204</v>
      </c>
      <c r="AC82" s="509"/>
      <c r="AD82" s="512"/>
      <c r="AE82" s="832">
        <f>AC82*AB82</f>
        <v>0</v>
      </c>
      <c r="AF82" s="489">
        <f>AE82/100*23.8</f>
        <v>0</v>
      </c>
      <c r="AG82" s="489"/>
      <c r="AH82" s="490"/>
      <c r="AI82" s="489">
        <f>((AE82/1000)*AH82)+((AE82/1000)*AH82)*1%</f>
        <v>0</v>
      </c>
      <c r="AJ82" s="489">
        <f>(AE82)/100*8.5</f>
        <v>0</v>
      </c>
    </row>
    <row r="83" spans="1:36" ht="16.5" thickBot="1">
      <c r="A83" s="507" t="s">
        <v>99</v>
      </c>
      <c r="B83" s="508">
        <v>23726.43</v>
      </c>
      <c r="C83" s="508">
        <v>24811.8</v>
      </c>
      <c r="D83" s="508">
        <f>C83-B83</f>
        <v>1085.369999999999</v>
      </c>
      <c r="E83" s="509">
        <v>1</v>
      </c>
      <c r="F83" s="512" t="s">
        <v>412</v>
      </c>
      <c r="G83" s="511">
        <f>E83*D83</f>
        <v>1085.369999999999</v>
      </c>
      <c r="H83" s="489">
        <f>G83/100*23.8</f>
        <v>258.31805999999978</v>
      </c>
      <c r="I83" s="489">
        <f>G83/100*2.88</f>
        <v>31.258655999999966</v>
      </c>
      <c r="J83" s="490">
        <v>9</v>
      </c>
      <c r="K83" s="489">
        <f>((G83/1000)*J83)+((G83/1000)*J83)*1%</f>
        <v>9.8660132999999917</v>
      </c>
      <c r="L83" s="489">
        <f>(G83)/100*8.5</f>
        <v>92.256449999999916</v>
      </c>
      <c r="M83" s="526">
        <f t="shared" ref="M83:M105" si="152">C83/13*12</f>
        <v>22903.199999999997</v>
      </c>
      <c r="N83" s="511">
        <f t="shared" si="137"/>
        <v>173.68</v>
      </c>
      <c r="O83" s="511">
        <f t="shared" si="135"/>
        <v>173.68</v>
      </c>
      <c r="P83" s="511">
        <f>O83/13</f>
        <v>13.360000000000001</v>
      </c>
      <c r="Q83" s="509">
        <v>1</v>
      </c>
      <c r="R83" s="512" t="s">
        <v>412</v>
      </c>
      <c r="S83" s="832">
        <f>Q83*O83</f>
        <v>173.68</v>
      </c>
      <c r="T83" s="489">
        <f>S83/100*23.8</f>
        <v>41.335840000000005</v>
      </c>
      <c r="U83" s="489">
        <f>S83/100*2.88</f>
        <v>5.0019840000000002</v>
      </c>
      <c r="V83" s="490">
        <v>9</v>
      </c>
      <c r="W83" s="489">
        <f>((S83/1000)*V83)+((S83/1000)*V83)*1%</f>
        <v>1.5787512000000001</v>
      </c>
      <c r="X83" s="489">
        <f>(S83)/100*8.5</f>
        <v>14.7628</v>
      </c>
      <c r="Z83" s="495" t="s">
        <v>114</v>
      </c>
      <c r="AA83" s="495">
        <v>17</v>
      </c>
      <c r="AB83" s="495">
        <f>AA83*12</f>
        <v>204</v>
      </c>
      <c r="AC83" s="509">
        <v>1</v>
      </c>
      <c r="AD83" s="512" t="s">
        <v>412</v>
      </c>
      <c r="AE83" s="832">
        <f>AC83*AB83</f>
        <v>204</v>
      </c>
      <c r="AF83" s="489">
        <f>AE83/100*23.8</f>
        <v>48.552</v>
      </c>
      <c r="AG83" s="489"/>
      <c r="AH83" s="490">
        <v>9</v>
      </c>
      <c r="AI83" s="489">
        <f>((AE83/1000)*AH83)+((AE83/1000)*AH83)*1%</f>
        <v>1.8543599999999998</v>
      </c>
      <c r="AJ83" s="489">
        <f>(AE83)/100*8.5</f>
        <v>17.34</v>
      </c>
    </row>
    <row r="84" spans="1:36" ht="16.5" thickBot="1">
      <c r="A84" s="507" t="s">
        <v>557</v>
      </c>
      <c r="B84" s="508"/>
      <c r="C84" s="508"/>
      <c r="D84" s="508"/>
      <c r="E84" s="509">
        <v>1</v>
      </c>
      <c r="F84" s="512" t="s">
        <v>406</v>
      </c>
      <c r="G84" s="511"/>
      <c r="H84" s="489"/>
      <c r="I84" s="489"/>
      <c r="J84" s="490">
        <v>5</v>
      </c>
      <c r="K84" s="489"/>
      <c r="L84" s="489"/>
      <c r="M84" s="526"/>
      <c r="N84" s="511">
        <f>13.73*13</f>
        <v>178.49</v>
      </c>
      <c r="O84" s="511">
        <f t="shared" si="135"/>
        <v>178.49</v>
      </c>
      <c r="P84" s="511">
        <f>O84/13</f>
        <v>13.73</v>
      </c>
      <c r="Q84" s="509">
        <v>1</v>
      </c>
      <c r="R84" s="512" t="s">
        <v>406</v>
      </c>
      <c r="S84" s="832">
        <f t="shared" ref="S84:S86" si="153">Q84*O84</f>
        <v>178.49</v>
      </c>
      <c r="T84" s="489">
        <f t="shared" ref="T84:T86" si="154">S84/100*23.8</f>
        <v>42.480620000000002</v>
      </c>
      <c r="U84" s="489">
        <f t="shared" ref="U84:U86" si="155">S84/100*2.88</f>
        <v>5.1405120000000002</v>
      </c>
      <c r="V84" s="490">
        <v>5</v>
      </c>
      <c r="W84" s="489">
        <f t="shared" ref="W84:W86" si="156">((S84/1000)*V84)+((S84/1000)*V84)*1%</f>
        <v>0.90137450000000008</v>
      </c>
      <c r="X84" s="489">
        <f t="shared" ref="X84:X86" si="157">(S84)/100*8.5</f>
        <v>15.171650000000001</v>
      </c>
      <c r="Z84" s="507" t="s">
        <v>557</v>
      </c>
      <c r="AC84" s="509">
        <v>1</v>
      </c>
      <c r="AD84" s="512" t="s">
        <v>406</v>
      </c>
      <c r="AE84" s="832"/>
      <c r="AF84" s="489"/>
      <c r="AG84" s="489"/>
      <c r="AH84" s="490">
        <v>5</v>
      </c>
      <c r="AI84" s="489"/>
      <c r="AJ84" s="489"/>
    </row>
    <row r="85" spans="1:36" ht="16.5" thickBot="1">
      <c r="A85" s="507" t="s">
        <v>557</v>
      </c>
      <c r="B85" s="508"/>
      <c r="C85" s="508"/>
      <c r="D85" s="508"/>
      <c r="E85" s="509">
        <v>1</v>
      </c>
      <c r="F85" s="512" t="s">
        <v>410</v>
      </c>
      <c r="G85" s="511"/>
      <c r="H85" s="489"/>
      <c r="I85" s="489"/>
      <c r="J85" s="490">
        <v>5</v>
      </c>
      <c r="K85" s="489"/>
      <c r="L85" s="489"/>
      <c r="M85" s="526"/>
      <c r="N85" s="511">
        <f t="shared" ref="N85:N86" si="158">13.73*13</f>
        <v>178.49</v>
      </c>
      <c r="O85" s="511">
        <f t="shared" si="135"/>
        <v>178.49</v>
      </c>
      <c r="P85" s="511"/>
      <c r="Q85" s="509">
        <v>1</v>
      </c>
      <c r="R85" s="512" t="s">
        <v>410</v>
      </c>
      <c r="S85" s="832">
        <f t="shared" si="153"/>
        <v>178.49</v>
      </c>
      <c r="T85" s="489">
        <f t="shared" si="154"/>
        <v>42.480620000000002</v>
      </c>
      <c r="U85" s="489">
        <f t="shared" si="155"/>
        <v>5.1405120000000002</v>
      </c>
      <c r="V85" s="490">
        <v>5</v>
      </c>
      <c r="W85" s="489">
        <f t="shared" si="156"/>
        <v>0.90137450000000008</v>
      </c>
      <c r="X85" s="489">
        <f t="shared" si="157"/>
        <v>15.171650000000001</v>
      </c>
      <c r="Z85" s="507" t="s">
        <v>557</v>
      </c>
      <c r="AC85" s="509">
        <v>1</v>
      </c>
      <c r="AD85" s="512" t="s">
        <v>410</v>
      </c>
      <c r="AE85" s="832"/>
      <c r="AF85" s="489"/>
      <c r="AG85" s="489"/>
      <c r="AH85" s="490">
        <v>5</v>
      </c>
      <c r="AI85" s="489"/>
      <c r="AJ85" s="489"/>
    </row>
    <row r="86" spans="1:36" ht="16.5" thickBot="1">
      <c r="A86" s="507" t="s">
        <v>557</v>
      </c>
      <c r="B86" s="508"/>
      <c r="C86" s="508"/>
      <c r="D86" s="508"/>
      <c r="E86" s="509">
        <v>1</v>
      </c>
      <c r="F86" s="512" t="s">
        <v>411</v>
      </c>
      <c r="G86" s="511"/>
      <c r="H86" s="489"/>
      <c r="I86" s="489"/>
      <c r="J86" s="490">
        <v>5</v>
      </c>
      <c r="K86" s="489"/>
      <c r="L86" s="489"/>
      <c r="M86" s="526"/>
      <c r="N86" s="511">
        <f t="shared" si="158"/>
        <v>178.49</v>
      </c>
      <c r="O86" s="511">
        <f t="shared" si="135"/>
        <v>178.49</v>
      </c>
      <c r="P86" s="511"/>
      <c r="Q86" s="509">
        <v>1</v>
      </c>
      <c r="R86" s="512" t="s">
        <v>411</v>
      </c>
      <c r="S86" s="832">
        <f t="shared" si="153"/>
        <v>178.49</v>
      </c>
      <c r="T86" s="489">
        <f t="shared" si="154"/>
        <v>42.480620000000002</v>
      </c>
      <c r="U86" s="489">
        <f t="shared" si="155"/>
        <v>5.1405120000000002</v>
      </c>
      <c r="V86" s="490">
        <v>5</v>
      </c>
      <c r="W86" s="489">
        <f t="shared" si="156"/>
        <v>0.90137450000000008</v>
      </c>
      <c r="X86" s="489">
        <f t="shared" si="157"/>
        <v>15.171650000000001</v>
      </c>
      <c r="Z86" s="507" t="s">
        <v>557</v>
      </c>
      <c r="AC86" s="509">
        <v>1</v>
      </c>
      <c r="AD86" s="512" t="s">
        <v>411</v>
      </c>
      <c r="AE86" s="832"/>
      <c r="AF86" s="489"/>
      <c r="AG86" s="489"/>
      <c r="AH86" s="490">
        <v>5</v>
      </c>
      <c r="AI86" s="489"/>
      <c r="AJ86" s="489"/>
    </row>
    <row r="87" spans="1:36" ht="16.5" thickBot="1">
      <c r="A87" s="507" t="s">
        <v>121</v>
      </c>
      <c r="B87" s="508">
        <v>22930.602500000001</v>
      </c>
      <c r="C87" s="508">
        <v>23980.09</v>
      </c>
      <c r="D87" s="508">
        <f t="shared" ref="D87:D105" si="159">C87-B87</f>
        <v>1049.4874999999993</v>
      </c>
      <c r="E87" s="509">
        <v>0.75</v>
      </c>
      <c r="F87" s="510" t="s">
        <v>413</v>
      </c>
      <c r="G87" s="511">
        <f t="shared" ref="G87:G105" si="160">E87*D87</f>
        <v>787.11562499999945</v>
      </c>
      <c r="H87" s="489">
        <f t="shared" ref="H87:H105" si="161">G87/100*23.8</f>
        <v>187.33351874999988</v>
      </c>
      <c r="I87" s="489">
        <f t="shared" ref="I87:I105" si="162">G87/100*2.88</f>
        <v>22.668929999999985</v>
      </c>
      <c r="J87" s="490">
        <v>12</v>
      </c>
      <c r="K87" s="489">
        <f t="shared" ref="K87:K105" si="163">((G87/1000)*J87)+((G87/1000)*J87)*1%</f>
        <v>9.5398413749999929</v>
      </c>
      <c r="L87" s="489">
        <f t="shared" ref="L87:L105" si="164">(G87)/100*8.5</f>
        <v>66.904828124999952</v>
      </c>
      <c r="M87" s="526">
        <f t="shared" si="152"/>
        <v>22135.467692307691</v>
      </c>
      <c r="N87" s="511">
        <f>12.91*13</f>
        <v>167.83</v>
      </c>
      <c r="O87" s="511">
        <f t="shared" si="135"/>
        <v>167.83</v>
      </c>
      <c r="P87" s="511">
        <f t="shared" ref="P87:P105" si="165">O87/13</f>
        <v>12.91</v>
      </c>
      <c r="Q87" s="509">
        <v>0.75</v>
      </c>
      <c r="R87" s="512" t="s">
        <v>413</v>
      </c>
      <c r="S87" s="832">
        <f t="shared" ref="S87:S105" si="166">Q87*O87</f>
        <v>125.8725</v>
      </c>
      <c r="T87" s="489">
        <f t="shared" ref="T87:T105" si="167">S87/100*23.8</f>
        <v>29.957655000000003</v>
      </c>
      <c r="U87" s="489">
        <f t="shared" ref="U87:U105" si="168">S87/100*2.88</f>
        <v>3.6251280000000001</v>
      </c>
      <c r="V87" s="490">
        <v>12</v>
      </c>
      <c r="W87" s="489">
        <f t="shared" si="13"/>
        <v>1.5255747</v>
      </c>
      <c r="X87" s="489">
        <f t="shared" ref="X87:X105" si="169">(S87)/100*8.5</f>
        <v>10.6991625</v>
      </c>
      <c r="Z87" s="495" t="s">
        <v>325</v>
      </c>
      <c r="AA87" s="495">
        <v>19</v>
      </c>
      <c r="AB87" s="495">
        <f t="shared" ref="AB87:AB105" si="170">AA87*12</f>
        <v>228</v>
      </c>
      <c r="AC87" s="509">
        <v>0.75</v>
      </c>
      <c r="AD87" s="512" t="s">
        <v>413</v>
      </c>
      <c r="AE87" s="832">
        <f t="shared" ref="AE87:AE105" si="171">AC87*AB87</f>
        <v>171</v>
      </c>
      <c r="AF87" s="489">
        <f t="shared" ref="AF87:AF105" si="172">AE87/100*23.8</f>
        <v>40.698</v>
      </c>
      <c r="AG87" s="489"/>
      <c r="AH87" s="490">
        <v>12</v>
      </c>
      <c r="AI87" s="489">
        <f t="shared" si="14"/>
        <v>2.0725199999999999</v>
      </c>
      <c r="AJ87" s="489">
        <f t="shared" ref="AJ87:AJ105" si="173">(AE87)/100*8.5</f>
        <v>14.535</v>
      </c>
    </row>
    <row r="88" spans="1:36" ht="91.5" thickBot="1">
      <c r="A88" s="507" t="s">
        <v>121</v>
      </c>
      <c r="B88" s="508">
        <v>22930.602500000001</v>
      </c>
      <c r="C88" s="508">
        <v>23980.09</v>
      </c>
      <c r="D88" s="508">
        <f t="shared" si="159"/>
        <v>1049.4874999999993</v>
      </c>
      <c r="E88" s="509">
        <f>3/12</f>
        <v>0.25</v>
      </c>
      <c r="F88" s="594" t="s">
        <v>714</v>
      </c>
      <c r="G88" s="511">
        <f t="shared" si="160"/>
        <v>262.37187499999982</v>
      </c>
      <c r="H88" s="489">
        <f t="shared" si="161"/>
        <v>62.444506249999961</v>
      </c>
      <c r="I88" s="489">
        <f t="shared" si="162"/>
        <v>7.5563099999999945</v>
      </c>
      <c r="J88" s="490">
        <v>5</v>
      </c>
      <c r="K88" s="489">
        <f t="shared" si="163"/>
        <v>1.3249779687499992</v>
      </c>
      <c r="L88" s="489">
        <f t="shared" si="164"/>
        <v>22.301609374999984</v>
      </c>
      <c r="M88" s="526">
        <f t="shared" si="152"/>
        <v>22135.467692307691</v>
      </c>
      <c r="N88" s="511">
        <f>12.91*13</f>
        <v>167.83</v>
      </c>
      <c r="O88" s="511">
        <f t="shared" si="135"/>
        <v>167.83</v>
      </c>
      <c r="P88" s="511">
        <f t="shared" si="165"/>
        <v>12.91</v>
      </c>
      <c r="Q88" s="509">
        <f>3/12</f>
        <v>0.25</v>
      </c>
      <c r="R88" s="594" t="s">
        <v>714</v>
      </c>
      <c r="S88" s="832">
        <f t="shared" si="166"/>
        <v>41.957500000000003</v>
      </c>
      <c r="T88" s="489">
        <f t="shared" si="167"/>
        <v>9.9858850000000015</v>
      </c>
      <c r="U88" s="489">
        <f t="shared" si="168"/>
        <v>1.2083760000000001</v>
      </c>
      <c r="V88" s="490">
        <v>5</v>
      </c>
      <c r="W88" s="489">
        <f t="shared" si="13"/>
        <v>0.21188537500000001</v>
      </c>
      <c r="X88" s="489">
        <f t="shared" si="169"/>
        <v>3.5663875000000003</v>
      </c>
      <c r="Z88" s="495" t="s">
        <v>325</v>
      </c>
      <c r="AA88" s="495">
        <v>19</v>
      </c>
      <c r="AB88" s="495">
        <f t="shared" si="170"/>
        <v>228</v>
      </c>
      <c r="AC88" s="509">
        <f>3/12</f>
        <v>0.25</v>
      </c>
      <c r="AD88" s="594" t="s">
        <v>714</v>
      </c>
      <c r="AE88" s="511">
        <f t="shared" si="171"/>
        <v>57</v>
      </c>
      <c r="AF88" s="489">
        <f t="shared" si="172"/>
        <v>13.565999999999999</v>
      </c>
      <c r="AG88" s="489"/>
      <c r="AH88" s="490">
        <v>5</v>
      </c>
      <c r="AI88" s="489">
        <f t="shared" si="14"/>
        <v>0.28785000000000005</v>
      </c>
      <c r="AJ88" s="489">
        <f t="shared" si="173"/>
        <v>4.8449999999999998</v>
      </c>
    </row>
    <row r="89" spans="1:36" ht="61.5" thickBot="1">
      <c r="A89" s="507" t="s">
        <v>121</v>
      </c>
      <c r="B89" s="508">
        <v>22930.602500000001</v>
      </c>
      <c r="C89" s="508">
        <v>23980.09</v>
      </c>
      <c r="D89" s="508">
        <f t="shared" ref="D89" si="174">C89-B89</f>
        <v>1049.4874999999993</v>
      </c>
      <c r="E89" s="509">
        <f>7/12</f>
        <v>0.58333333333333337</v>
      </c>
      <c r="F89" s="594" t="s">
        <v>739</v>
      </c>
      <c r="G89" s="511">
        <f t="shared" ref="G89" si="175">E89*D89</f>
        <v>612.20104166666624</v>
      </c>
      <c r="H89" s="489">
        <f t="shared" ref="H89" si="176">G89/100*23.8</f>
        <v>145.70384791666658</v>
      </c>
      <c r="I89" s="489">
        <f t="shared" ref="I89" si="177">G89/100*2.88</f>
        <v>17.631389999999985</v>
      </c>
      <c r="J89" s="490">
        <v>23</v>
      </c>
      <c r="K89" s="489">
        <f t="shared" ref="K89" si="178">((G89/1000)*J89)+((G89/1000)*J89)*1%</f>
        <v>14.221430197916657</v>
      </c>
      <c r="L89" s="489">
        <f t="shared" ref="L89" si="179">(G89)/100*8.5</f>
        <v>52.037088541666634</v>
      </c>
      <c r="M89" s="526">
        <f t="shared" ref="M89" si="180">C89/13*12</f>
        <v>22135.467692307691</v>
      </c>
      <c r="N89" s="511">
        <f>12.91*13</f>
        <v>167.83</v>
      </c>
      <c r="O89" s="511">
        <f t="shared" ref="O89" si="181">N89</f>
        <v>167.83</v>
      </c>
      <c r="P89" s="511">
        <f t="shared" ref="P89" si="182">O89/13</f>
        <v>12.91</v>
      </c>
      <c r="Q89" s="509">
        <f>7/12</f>
        <v>0.58333333333333337</v>
      </c>
      <c r="R89" s="594" t="s">
        <v>739</v>
      </c>
      <c r="S89" s="832">
        <f t="shared" ref="S89" si="183">Q89*O89</f>
        <v>97.900833333333352</v>
      </c>
      <c r="T89" s="489">
        <f t="shared" ref="T89" si="184">S89/100*23.8</f>
        <v>23.300398333333337</v>
      </c>
      <c r="U89" s="489">
        <f t="shared" ref="U89" si="185">S89/100*2.88</f>
        <v>2.8195440000000005</v>
      </c>
      <c r="V89" s="490">
        <v>23</v>
      </c>
      <c r="W89" s="489">
        <f t="shared" ref="W89" si="186">((S89/1000)*V89)+((S89/1000)*V89)*1%</f>
        <v>2.2742363583333338</v>
      </c>
      <c r="X89" s="489">
        <f t="shared" ref="X89" si="187">(S89)/100*8.5</f>
        <v>8.3215708333333342</v>
      </c>
      <c r="Z89" s="495" t="s">
        <v>325</v>
      </c>
      <c r="AA89" s="495">
        <v>19</v>
      </c>
      <c r="AB89" s="495">
        <f t="shared" ref="AB89" si="188">AA89*12</f>
        <v>228</v>
      </c>
      <c r="AC89" s="509">
        <f>7/12</f>
        <v>0.58333333333333337</v>
      </c>
      <c r="AD89" s="594" t="s">
        <v>739</v>
      </c>
      <c r="AE89" s="511">
        <f t="shared" ref="AE89" si="189">AC89*AB89</f>
        <v>133</v>
      </c>
      <c r="AF89" s="489">
        <f t="shared" ref="AF89" si="190">AE89/100*23.8</f>
        <v>31.654000000000003</v>
      </c>
      <c r="AG89" s="489"/>
      <c r="AH89" s="490">
        <v>23</v>
      </c>
      <c r="AI89" s="489">
        <f t="shared" ref="AI89" si="191">((AE89/1000)*AH89)+((AE89/1000)*AH89)*1%</f>
        <v>3.0895900000000003</v>
      </c>
      <c r="AJ89" s="489">
        <f t="shared" ref="AJ89" si="192">(AE89)/100*8.5</f>
        <v>11.305</v>
      </c>
    </row>
    <row r="90" spans="1:36" ht="16.5" thickBot="1">
      <c r="A90" s="507" t="s">
        <v>112</v>
      </c>
      <c r="B90" s="508">
        <v>24054.214166666665</v>
      </c>
      <c r="C90" s="508">
        <v>25155.05</v>
      </c>
      <c r="D90" s="508">
        <f t="shared" si="159"/>
        <v>1100.8358333333344</v>
      </c>
      <c r="E90" s="509">
        <v>1</v>
      </c>
      <c r="F90" s="512" t="s">
        <v>414</v>
      </c>
      <c r="G90" s="511">
        <f t="shared" si="160"/>
        <v>1100.8358333333344</v>
      </c>
      <c r="H90" s="489">
        <f t="shared" si="161"/>
        <v>261.99892833333359</v>
      </c>
      <c r="I90" s="489">
        <f t="shared" si="162"/>
        <v>31.704072000000032</v>
      </c>
      <c r="J90" s="490">
        <v>23</v>
      </c>
      <c r="K90" s="489">
        <f t="shared" si="163"/>
        <v>25.572416408333357</v>
      </c>
      <c r="L90" s="489">
        <f t="shared" si="164"/>
        <v>93.571045833333429</v>
      </c>
      <c r="M90" s="526">
        <f t="shared" si="152"/>
        <v>23220.046153846153</v>
      </c>
      <c r="N90" s="511">
        <f>13.55*13</f>
        <v>176.15</v>
      </c>
      <c r="O90" s="511">
        <f t="shared" si="135"/>
        <v>176.15</v>
      </c>
      <c r="P90" s="511">
        <f t="shared" si="165"/>
        <v>13.55</v>
      </c>
      <c r="Q90" s="509">
        <v>1</v>
      </c>
      <c r="R90" s="512" t="s">
        <v>414</v>
      </c>
      <c r="S90" s="832">
        <f t="shared" si="166"/>
        <v>176.15</v>
      </c>
      <c r="T90" s="489">
        <f t="shared" si="167"/>
        <v>41.923700000000004</v>
      </c>
      <c r="U90" s="489">
        <f t="shared" si="168"/>
        <v>5.0731200000000003</v>
      </c>
      <c r="V90" s="490">
        <v>23</v>
      </c>
      <c r="W90" s="489">
        <f t="shared" si="13"/>
        <v>4.0919644999999996</v>
      </c>
      <c r="X90" s="489">
        <f t="shared" si="169"/>
        <v>14.972750000000001</v>
      </c>
      <c r="Z90" s="495" t="s">
        <v>326</v>
      </c>
      <c r="AA90" s="495">
        <v>16</v>
      </c>
      <c r="AB90" s="495">
        <f t="shared" si="170"/>
        <v>192</v>
      </c>
      <c r="AC90" s="509">
        <v>1</v>
      </c>
      <c r="AD90" s="512" t="s">
        <v>414</v>
      </c>
      <c r="AE90" s="832">
        <f t="shared" si="171"/>
        <v>192</v>
      </c>
      <c r="AF90" s="489">
        <f t="shared" si="172"/>
        <v>45.695999999999998</v>
      </c>
      <c r="AG90" s="489"/>
      <c r="AH90" s="490">
        <v>23</v>
      </c>
      <c r="AI90" s="489">
        <f t="shared" si="14"/>
        <v>4.4601600000000001</v>
      </c>
      <c r="AJ90" s="489">
        <f t="shared" si="173"/>
        <v>16.32</v>
      </c>
    </row>
    <row r="91" spans="1:36" ht="16.5" thickBot="1">
      <c r="A91" s="507" t="s">
        <v>112</v>
      </c>
      <c r="B91" s="508">
        <v>24054.214166666665</v>
      </c>
      <c r="C91" s="508">
        <v>25155.05</v>
      </c>
      <c r="D91" s="508">
        <f>C91-B91</f>
        <v>1100.8358333333344</v>
      </c>
      <c r="E91" s="509">
        <v>1</v>
      </c>
      <c r="F91" s="512" t="s">
        <v>415</v>
      </c>
      <c r="G91" s="511">
        <f>E91*D91</f>
        <v>1100.8358333333344</v>
      </c>
      <c r="H91" s="489">
        <f>G91/100*23.8</f>
        <v>261.99892833333359</v>
      </c>
      <c r="I91" s="489">
        <f>G91/100*2.88</f>
        <v>31.704072000000032</v>
      </c>
      <c r="J91" s="490">
        <v>5</v>
      </c>
      <c r="K91" s="489">
        <f>((G91/1000)*J91)+((G91/1000)*J91)*1%</f>
        <v>5.5592209583333387</v>
      </c>
      <c r="L91" s="489">
        <f>(G91)/100*8.5</f>
        <v>93.571045833333429</v>
      </c>
      <c r="M91" s="526">
        <f t="shared" si="152"/>
        <v>23220.046153846153</v>
      </c>
      <c r="N91" s="511">
        <f>13.55*13</f>
        <v>176.15</v>
      </c>
      <c r="O91" s="511">
        <f t="shared" si="135"/>
        <v>176.15</v>
      </c>
      <c r="P91" s="511">
        <f>O91/13</f>
        <v>13.55</v>
      </c>
      <c r="Q91" s="509">
        <v>1</v>
      </c>
      <c r="R91" s="512" t="s">
        <v>415</v>
      </c>
      <c r="S91" s="832">
        <f>Q91*O91</f>
        <v>176.15</v>
      </c>
      <c r="T91" s="489">
        <f>S91/100*23.8</f>
        <v>41.923700000000004</v>
      </c>
      <c r="U91" s="489">
        <f>S91/100*2.88</f>
        <v>5.0731200000000003</v>
      </c>
      <c r="V91" s="490">
        <v>5</v>
      </c>
      <c r="W91" s="489">
        <f>((S91/1000)*V91)+((S91/1000)*V91)*1%</f>
        <v>0.8895575</v>
      </c>
      <c r="X91" s="489">
        <f>(S91)/100*8.5</f>
        <v>14.972750000000001</v>
      </c>
      <c r="Z91" s="495" t="s">
        <v>326</v>
      </c>
      <c r="AA91" s="495">
        <v>16</v>
      </c>
      <c r="AB91" s="495">
        <f>AA91*12</f>
        <v>192</v>
      </c>
      <c r="AC91" s="509">
        <v>1</v>
      </c>
      <c r="AD91" s="512" t="s">
        <v>415</v>
      </c>
      <c r="AE91" s="832">
        <f>AC91*AB91</f>
        <v>192</v>
      </c>
      <c r="AF91" s="489">
        <f>AE91/100*23.8</f>
        <v>45.695999999999998</v>
      </c>
      <c r="AG91" s="489"/>
      <c r="AH91" s="490">
        <v>5</v>
      </c>
      <c r="AI91" s="489">
        <f>((AE91/1000)*AH91)+((AE91/1000)*AH91)*1%</f>
        <v>0.96960000000000002</v>
      </c>
      <c r="AJ91" s="489">
        <f>(AE91)/100*8.5</f>
        <v>16.32</v>
      </c>
    </row>
    <row r="92" spans="1:36" ht="16.5" thickBot="1">
      <c r="A92" s="507" t="s">
        <v>1</v>
      </c>
      <c r="B92" s="508">
        <v>26366.318333333333</v>
      </c>
      <c r="C92" s="508">
        <v>27572.85</v>
      </c>
      <c r="D92" s="508">
        <f t="shared" si="159"/>
        <v>1206.5316666666658</v>
      </c>
      <c r="E92" s="509">
        <v>1</v>
      </c>
      <c r="F92" s="512" t="s">
        <v>416</v>
      </c>
      <c r="G92" s="511">
        <f t="shared" si="160"/>
        <v>1206.5316666666658</v>
      </c>
      <c r="H92" s="489">
        <f t="shared" si="161"/>
        <v>287.1545366666665</v>
      </c>
      <c r="I92" s="489">
        <f t="shared" si="162"/>
        <v>34.748111999999978</v>
      </c>
      <c r="J92" s="490">
        <v>5</v>
      </c>
      <c r="K92" s="489">
        <f t="shared" si="163"/>
        <v>6.092984916666663</v>
      </c>
      <c r="L92" s="489">
        <f t="shared" si="164"/>
        <v>102.5551916666666</v>
      </c>
      <c r="M92" s="526">
        <f t="shared" si="152"/>
        <v>25451.861538461533</v>
      </c>
      <c r="N92" s="511">
        <f>14.85*13</f>
        <v>193.04999999999998</v>
      </c>
      <c r="O92" s="511">
        <f t="shared" si="135"/>
        <v>193.04999999999998</v>
      </c>
      <c r="P92" s="511">
        <f t="shared" si="165"/>
        <v>14.849999999999998</v>
      </c>
      <c r="Q92" s="509">
        <v>1</v>
      </c>
      <c r="R92" s="512" t="s">
        <v>416</v>
      </c>
      <c r="S92" s="832">
        <f t="shared" si="166"/>
        <v>193.04999999999998</v>
      </c>
      <c r="T92" s="489">
        <f t="shared" si="167"/>
        <v>45.945900000000002</v>
      </c>
      <c r="U92" s="489">
        <f t="shared" si="168"/>
        <v>5.5598399999999994</v>
      </c>
      <c r="V92" s="490">
        <v>5</v>
      </c>
      <c r="W92" s="489">
        <f t="shared" si="13"/>
        <v>0.97490249999999978</v>
      </c>
      <c r="X92" s="489">
        <f t="shared" si="169"/>
        <v>16.40925</v>
      </c>
      <c r="Z92" s="495" t="s">
        <v>327</v>
      </c>
      <c r="AA92" s="495">
        <v>9</v>
      </c>
      <c r="AB92" s="495">
        <f t="shared" si="170"/>
        <v>108</v>
      </c>
      <c r="AC92" s="509">
        <v>1</v>
      </c>
      <c r="AD92" s="512" t="s">
        <v>416</v>
      </c>
      <c r="AE92" s="832">
        <f t="shared" si="171"/>
        <v>108</v>
      </c>
      <c r="AF92" s="489">
        <f t="shared" si="172"/>
        <v>25.704000000000004</v>
      </c>
      <c r="AG92" s="489"/>
      <c r="AH92" s="490">
        <v>5</v>
      </c>
      <c r="AI92" s="489">
        <f t="shared" si="14"/>
        <v>0.5454</v>
      </c>
      <c r="AJ92" s="489">
        <f t="shared" si="173"/>
        <v>9.18</v>
      </c>
    </row>
    <row r="93" spans="1:36" ht="16.5" thickBot="1">
      <c r="A93" s="507" t="s">
        <v>1</v>
      </c>
      <c r="B93" s="508">
        <v>26366.318333333333</v>
      </c>
      <c r="C93" s="508">
        <v>27572.85</v>
      </c>
      <c r="D93" s="508">
        <f t="shared" si="159"/>
        <v>1206.5316666666658</v>
      </c>
      <c r="E93" s="509">
        <v>1</v>
      </c>
      <c r="F93" s="518" t="s">
        <v>417</v>
      </c>
      <c r="G93" s="511">
        <f t="shared" si="160"/>
        <v>1206.5316666666658</v>
      </c>
      <c r="H93" s="489">
        <f t="shared" si="161"/>
        <v>287.1545366666665</v>
      </c>
      <c r="I93" s="489">
        <f t="shared" si="162"/>
        <v>34.748111999999978</v>
      </c>
      <c r="J93" s="490">
        <v>23</v>
      </c>
      <c r="K93" s="489">
        <f t="shared" si="163"/>
        <v>28.027730616666648</v>
      </c>
      <c r="L93" s="489">
        <f t="shared" si="164"/>
        <v>102.5551916666666</v>
      </c>
      <c r="M93" s="526">
        <f t="shared" si="152"/>
        <v>25451.861538461533</v>
      </c>
      <c r="N93" s="511">
        <f t="shared" ref="N93:N95" si="193">14.85*13</f>
        <v>193.04999999999998</v>
      </c>
      <c r="O93" s="511">
        <f t="shared" si="135"/>
        <v>193.04999999999998</v>
      </c>
      <c r="P93" s="511">
        <f t="shared" si="165"/>
        <v>14.849999999999998</v>
      </c>
      <c r="Q93" s="509">
        <v>1</v>
      </c>
      <c r="R93" s="512" t="s">
        <v>417</v>
      </c>
      <c r="S93" s="832">
        <f t="shared" si="166"/>
        <v>193.04999999999998</v>
      </c>
      <c r="T93" s="489">
        <f t="shared" si="167"/>
        <v>45.945900000000002</v>
      </c>
      <c r="U93" s="489">
        <f t="shared" si="168"/>
        <v>5.5598399999999994</v>
      </c>
      <c r="V93" s="490">
        <v>23</v>
      </c>
      <c r="W93" s="489">
        <f t="shared" si="13"/>
        <v>4.4845514999999994</v>
      </c>
      <c r="X93" s="489">
        <f t="shared" si="169"/>
        <v>16.40925</v>
      </c>
      <c r="Z93" s="495" t="s">
        <v>327</v>
      </c>
      <c r="AA93" s="495">
        <v>9</v>
      </c>
      <c r="AB93" s="495">
        <f t="shared" si="170"/>
        <v>108</v>
      </c>
      <c r="AC93" s="509">
        <v>1</v>
      </c>
      <c r="AD93" s="518" t="s">
        <v>417</v>
      </c>
      <c r="AE93" s="832">
        <f t="shared" si="171"/>
        <v>108</v>
      </c>
      <c r="AF93" s="489">
        <f t="shared" si="172"/>
        <v>25.704000000000004</v>
      </c>
      <c r="AG93" s="489"/>
      <c r="AH93" s="490">
        <v>23</v>
      </c>
      <c r="AI93" s="489">
        <f t="shared" si="14"/>
        <v>2.5088400000000002</v>
      </c>
      <c r="AJ93" s="489">
        <f t="shared" si="173"/>
        <v>9.18</v>
      </c>
    </row>
    <row r="94" spans="1:36" ht="16.5" thickBot="1">
      <c r="A94" s="507" t="s">
        <v>1</v>
      </c>
      <c r="B94" s="508">
        <v>26366.318333333333</v>
      </c>
      <c r="C94" s="508">
        <v>27572.85</v>
      </c>
      <c r="D94" s="508">
        <f t="shared" si="159"/>
        <v>1206.5316666666658</v>
      </c>
      <c r="E94" s="509"/>
      <c r="F94" s="512"/>
      <c r="G94" s="511">
        <f>E94*D94</f>
        <v>0</v>
      </c>
      <c r="H94" s="489">
        <f t="shared" si="161"/>
        <v>0</v>
      </c>
      <c r="I94" s="489">
        <f t="shared" si="162"/>
        <v>0</v>
      </c>
      <c r="J94" s="490"/>
      <c r="K94" s="489">
        <f t="shared" si="163"/>
        <v>0</v>
      </c>
      <c r="L94" s="489">
        <f t="shared" si="164"/>
        <v>0</v>
      </c>
      <c r="M94" s="526">
        <f t="shared" si="152"/>
        <v>25451.861538461533</v>
      </c>
      <c r="N94" s="511">
        <f t="shared" si="193"/>
        <v>193.04999999999998</v>
      </c>
      <c r="O94" s="511">
        <f t="shared" si="135"/>
        <v>193.04999999999998</v>
      </c>
      <c r="P94" s="511">
        <f t="shared" si="165"/>
        <v>14.849999999999998</v>
      </c>
      <c r="Q94" s="509"/>
      <c r="R94" s="512"/>
      <c r="S94" s="832">
        <f t="shared" si="166"/>
        <v>0</v>
      </c>
      <c r="T94" s="489">
        <f t="shared" si="167"/>
        <v>0</v>
      </c>
      <c r="U94" s="489">
        <f t="shared" si="168"/>
        <v>0</v>
      </c>
      <c r="V94" s="490"/>
      <c r="W94" s="489">
        <f t="shared" si="13"/>
        <v>0</v>
      </c>
      <c r="X94" s="489">
        <f t="shared" si="169"/>
        <v>0</v>
      </c>
      <c r="Z94" s="495" t="s">
        <v>327</v>
      </c>
      <c r="AA94" s="495">
        <v>9</v>
      </c>
      <c r="AB94" s="495">
        <f t="shared" si="170"/>
        <v>108</v>
      </c>
      <c r="AC94" s="509"/>
      <c r="AD94" s="512"/>
      <c r="AE94" s="832">
        <f t="shared" si="171"/>
        <v>0</v>
      </c>
      <c r="AF94" s="489">
        <f t="shared" si="172"/>
        <v>0</v>
      </c>
      <c r="AG94" s="489"/>
      <c r="AH94" s="490"/>
      <c r="AI94" s="489">
        <f t="shared" si="14"/>
        <v>0</v>
      </c>
      <c r="AJ94" s="489">
        <f t="shared" si="173"/>
        <v>0</v>
      </c>
    </row>
    <row r="95" spans="1:36" ht="16.5" thickBot="1">
      <c r="A95" s="507" t="s">
        <v>1</v>
      </c>
      <c r="B95" s="508">
        <v>26366.318333333333</v>
      </c>
      <c r="C95" s="508">
        <v>27572.85</v>
      </c>
      <c r="D95" s="508">
        <f t="shared" si="159"/>
        <v>1206.5316666666658</v>
      </c>
      <c r="E95" s="509">
        <f>72.22/100</f>
        <v>0.72219999999999995</v>
      </c>
      <c r="F95" s="512" t="s">
        <v>419</v>
      </c>
      <c r="G95" s="511">
        <f t="shared" si="160"/>
        <v>871.35716966666598</v>
      </c>
      <c r="H95" s="489">
        <f t="shared" si="161"/>
        <v>207.38300638066653</v>
      </c>
      <c r="I95" s="489">
        <f t="shared" si="162"/>
        <v>25.095086486399982</v>
      </c>
      <c r="J95" s="490">
        <v>5</v>
      </c>
      <c r="K95" s="489">
        <f t="shared" si="163"/>
        <v>4.4003537068166638</v>
      </c>
      <c r="L95" s="489">
        <f t="shared" si="164"/>
        <v>74.065359421666614</v>
      </c>
      <c r="M95" s="526">
        <f t="shared" si="152"/>
        <v>25451.861538461533</v>
      </c>
      <c r="N95" s="511">
        <f t="shared" si="193"/>
        <v>193.04999999999998</v>
      </c>
      <c r="O95" s="511">
        <f t="shared" si="135"/>
        <v>193.04999999999998</v>
      </c>
      <c r="P95" s="511">
        <f t="shared" si="165"/>
        <v>14.849999999999998</v>
      </c>
      <c r="Q95" s="509">
        <v>1</v>
      </c>
      <c r="R95" s="512" t="s">
        <v>419</v>
      </c>
      <c r="S95" s="832">
        <f t="shared" si="166"/>
        <v>193.04999999999998</v>
      </c>
      <c r="T95" s="489">
        <f t="shared" si="167"/>
        <v>45.945900000000002</v>
      </c>
      <c r="U95" s="489">
        <f t="shared" si="168"/>
        <v>5.5598399999999994</v>
      </c>
      <c r="V95" s="490">
        <v>5</v>
      </c>
      <c r="W95" s="489">
        <f t="shared" si="13"/>
        <v>0.97490249999999978</v>
      </c>
      <c r="X95" s="489">
        <f t="shared" si="169"/>
        <v>16.40925</v>
      </c>
      <c r="Z95" s="495" t="s">
        <v>327</v>
      </c>
      <c r="AA95" s="495">
        <v>9</v>
      </c>
      <c r="AB95" s="495">
        <f t="shared" si="170"/>
        <v>108</v>
      </c>
      <c r="AC95" s="509">
        <v>1</v>
      </c>
      <c r="AD95" s="512" t="s">
        <v>419</v>
      </c>
      <c r="AE95" s="832">
        <f t="shared" si="171"/>
        <v>108</v>
      </c>
      <c r="AF95" s="489">
        <f t="shared" si="172"/>
        <v>25.704000000000004</v>
      </c>
      <c r="AG95" s="489"/>
      <c r="AH95" s="490">
        <v>5</v>
      </c>
      <c r="AI95" s="489">
        <f t="shared" si="14"/>
        <v>0.5454</v>
      </c>
      <c r="AJ95" s="489">
        <f t="shared" si="173"/>
        <v>9.18</v>
      </c>
    </row>
    <row r="96" spans="1:36" ht="16.5" thickBot="1">
      <c r="A96" s="507" t="s">
        <v>128</v>
      </c>
      <c r="B96" s="508">
        <v>27492.57333333333</v>
      </c>
      <c r="C96" s="508">
        <v>28750.45</v>
      </c>
      <c r="D96" s="508">
        <f t="shared" si="159"/>
        <v>1257.8766666666706</v>
      </c>
      <c r="E96" s="509">
        <v>1</v>
      </c>
      <c r="F96" s="512" t="s">
        <v>420</v>
      </c>
      <c r="G96" s="511">
        <f t="shared" si="160"/>
        <v>1257.8766666666706</v>
      </c>
      <c r="H96" s="489">
        <f t="shared" si="161"/>
        <v>299.37464666666762</v>
      </c>
      <c r="I96" s="489">
        <f t="shared" si="162"/>
        <v>36.226848000000111</v>
      </c>
      <c r="J96" s="490">
        <v>23</v>
      </c>
      <c r="K96" s="489">
        <f t="shared" si="163"/>
        <v>29.22047496666676</v>
      </c>
      <c r="L96" s="489">
        <f t="shared" si="164"/>
        <v>106.91951666666699</v>
      </c>
      <c r="M96" s="526">
        <f t="shared" si="152"/>
        <v>26538.876923076921</v>
      </c>
      <c r="N96" s="511">
        <f>15.48*13</f>
        <v>201.24</v>
      </c>
      <c r="O96" s="511">
        <f t="shared" si="135"/>
        <v>201.24</v>
      </c>
      <c r="P96" s="511">
        <f t="shared" si="165"/>
        <v>15.48</v>
      </c>
      <c r="Q96" s="509">
        <v>1</v>
      </c>
      <c r="R96" s="512" t="s">
        <v>420</v>
      </c>
      <c r="S96" s="832">
        <f t="shared" si="166"/>
        <v>201.24</v>
      </c>
      <c r="T96" s="489">
        <f t="shared" si="167"/>
        <v>47.895119999999999</v>
      </c>
      <c r="U96" s="489">
        <f t="shared" si="168"/>
        <v>5.795712</v>
      </c>
      <c r="V96" s="490">
        <v>23</v>
      </c>
      <c r="W96" s="489">
        <f t="shared" si="13"/>
        <v>4.6748051999999998</v>
      </c>
      <c r="X96" s="489">
        <f t="shared" si="169"/>
        <v>17.105399999999999</v>
      </c>
      <c r="Z96" s="495" t="s">
        <v>128</v>
      </c>
      <c r="AA96" s="495">
        <v>6</v>
      </c>
      <c r="AB96" s="495">
        <f t="shared" si="170"/>
        <v>72</v>
      </c>
      <c r="AC96" s="509">
        <v>1</v>
      </c>
      <c r="AD96" s="512" t="s">
        <v>420</v>
      </c>
      <c r="AE96" s="832">
        <f t="shared" si="171"/>
        <v>72</v>
      </c>
      <c r="AF96" s="489">
        <f t="shared" si="172"/>
        <v>17.135999999999999</v>
      </c>
      <c r="AG96" s="489"/>
      <c r="AH96" s="490">
        <v>23</v>
      </c>
      <c r="AI96" s="489">
        <f t="shared" si="14"/>
        <v>1.6725599999999998</v>
      </c>
      <c r="AJ96" s="489">
        <f t="shared" si="173"/>
        <v>6.12</v>
      </c>
    </row>
    <row r="97" spans="1:36" ht="16.5" thickBot="1">
      <c r="A97" s="507" t="s">
        <v>128</v>
      </c>
      <c r="B97" s="508">
        <v>27492.57333333333</v>
      </c>
      <c r="C97" s="508">
        <v>28750.45</v>
      </c>
      <c r="D97" s="508">
        <f t="shared" si="159"/>
        <v>1257.8766666666706</v>
      </c>
      <c r="E97" s="509">
        <v>1</v>
      </c>
      <c r="F97" s="512" t="s">
        <v>421</v>
      </c>
      <c r="G97" s="511">
        <f t="shared" si="160"/>
        <v>1257.8766666666706</v>
      </c>
      <c r="H97" s="489">
        <f t="shared" si="161"/>
        <v>299.37464666666762</v>
      </c>
      <c r="I97" s="489">
        <f t="shared" si="162"/>
        <v>36.226848000000111</v>
      </c>
      <c r="J97" s="490">
        <v>9</v>
      </c>
      <c r="K97" s="489">
        <f t="shared" si="163"/>
        <v>11.434098900000038</v>
      </c>
      <c r="L97" s="489">
        <f t="shared" si="164"/>
        <v>106.91951666666699</v>
      </c>
      <c r="M97" s="526">
        <f t="shared" si="152"/>
        <v>26538.876923076921</v>
      </c>
      <c r="N97" s="511">
        <f t="shared" ref="N97:N103" si="194">15.48*13</f>
        <v>201.24</v>
      </c>
      <c r="O97" s="511">
        <f t="shared" si="135"/>
        <v>201.24</v>
      </c>
      <c r="P97" s="511">
        <f t="shared" si="165"/>
        <v>15.48</v>
      </c>
      <c r="Q97" s="509">
        <v>1</v>
      </c>
      <c r="R97" s="512" t="s">
        <v>421</v>
      </c>
      <c r="S97" s="832">
        <f t="shared" si="166"/>
        <v>201.24</v>
      </c>
      <c r="T97" s="489">
        <f t="shared" si="167"/>
        <v>47.895119999999999</v>
      </c>
      <c r="U97" s="489">
        <f t="shared" si="168"/>
        <v>5.795712</v>
      </c>
      <c r="V97" s="490">
        <v>9</v>
      </c>
      <c r="W97" s="489">
        <f t="shared" si="13"/>
        <v>1.8292716</v>
      </c>
      <c r="X97" s="489">
        <f t="shared" si="169"/>
        <v>17.105399999999999</v>
      </c>
      <c r="Z97" s="495" t="s">
        <v>128</v>
      </c>
      <c r="AA97" s="495">
        <v>6</v>
      </c>
      <c r="AB97" s="495">
        <f t="shared" si="170"/>
        <v>72</v>
      </c>
      <c r="AC97" s="509">
        <v>1</v>
      </c>
      <c r="AD97" s="512" t="s">
        <v>421</v>
      </c>
      <c r="AE97" s="832">
        <f t="shared" si="171"/>
        <v>72</v>
      </c>
      <c r="AF97" s="489">
        <f t="shared" si="172"/>
        <v>17.135999999999999</v>
      </c>
      <c r="AG97" s="489"/>
      <c r="AH97" s="490">
        <v>9</v>
      </c>
      <c r="AI97" s="489">
        <f t="shared" si="14"/>
        <v>0.65447999999999995</v>
      </c>
      <c r="AJ97" s="489">
        <f t="shared" si="173"/>
        <v>6.12</v>
      </c>
    </row>
    <row r="98" spans="1:36" ht="16.5" thickBot="1">
      <c r="A98" s="507" t="s">
        <v>128</v>
      </c>
      <c r="B98" s="508">
        <v>27492.57333333333</v>
      </c>
      <c r="C98" s="508">
        <v>28750.45</v>
      </c>
      <c r="D98" s="508">
        <f t="shared" si="159"/>
        <v>1257.8766666666706</v>
      </c>
      <c r="E98" s="509">
        <v>1</v>
      </c>
      <c r="F98" s="512" t="s">
        <v>422</v>
      </c>
      <c r="G98" s="511">
        <f t="shared" si="160"/>
        <v>1257.8766666666706</v>
      </c>
      <c r="H98" s="489">
        <f t="shared" si="161"/>
        <v>299.37464666666762</v>
      </c>
      <c r="I98" s="489">
        <f t="shared" si="162"/>
        <v>36.226848000000111</v>
      </c>
      <c r="J98" s="490">
        <v>9</v>
      </c>
      <c r="K98" s="489">
        <f t="shared" si="163"/>
        <v>11.434098900000038</v>
      </c>
      <c r="L98" s="489">
        <f t="shared" si="164"/>
        <v>106.91951666666699</v>
      </c>
      <c r="M98" s="526">
        <f t="shared" si="152"/>
        <v>26538.876923076921</v>
      </c>
      <c r="N98" s="511">
        <f t="shared" si="194"/>
        <v>201.24</v>
      </c>
      <c r="O98" s="511">
        <f t="shared" si="135"/>
        <v>201.24</v>
      </c>
      <c r="P98" s="511">
        <f t="shared" si="165"/>
        <v>15.48</v>
      </c>
      <c r="Q98" s="509">
        <v>1</v>
      </c>
      <c r="R98" s="512" t="s">
        <v>422</v>
      </c>
      <c r="S98" s="832">
        <f t="shared" si="166"/>
        <v>201.24</v>
      </c>
      <c r="T98" s="489">
        <f t="shared" si="167"/>
        <v>47.895119999999999</v>
      </c>
      <c r="U98" s="489">
        <f t="shared" si="168"/>
        <v>5.795712</v>
      </c>
      <c r="V98" s="490">
        <v>9</v>
      </c>
      <c r="W98" s="489">
        <f t="shared" si="13"/>
        <v>1.8292716</v>
      </c>
      <c r="X98" s="489">
        <f t="shared" si="169"/>
        <v>17.105399999999999</v>
      </c>
      <c r="Z98" s="495" t="s">
        <v>128</v>
      </c>
      <c r="AA98" s="495">
        <v>6</v>
      </c>
      <c r="AB98" s="495">
        <f t="shared" si="170"/>
        <v>72</v>
      </c>
      <c r="AC98" s="509">
        <v>1</v>
      </c>
      <c r="AD98" s="512" t="s">
        <v>422</v>
      </c>
      <c r="AE98" s="832">
        <f t="shared" si="171"/>
        <v>72</v>
      </c>
      <c r="AF98" s="489">
        <f t="shared" si="172"/>
        <v>17.135999999999999</v>
      </c>
      <c r="AG98" s="489"/>
      <c r="AH98" s="490">
        <v>9</v>
      </c>
      <c r="AI98" s="489">
        <f t="shared" si="14"/>
        <v>0.65447999999999995</v>
      </c>
      <c r="AJ98" s="489">
        <f t="shared" si="173"/>
        <v>6.12</v>
      </c>
    </row>
    <row r="99" spans="1:36" ht="16.5" thickBot="1">
      <c r="A99" s="507" t="s">
        <v>128</v>
      </c>
      <c r="B99" s="508">
        <v>27492.57333333333</v>
      </c>
      <c r="C99" s="508">
        <v>28750.45</v>
      </c>
      <c r="D99" s="508">
        <f>C99-B99</f>
        <v>1257.8766666666706</v>
      </c>
      <c r="E99" s="509">
        <v>1</v>
      </c>
      <c r="F99" s="512" t="s">
        <v>423</v>
      </c>
      <c r="G99" s="511">
        <f>E99*D99</f>
        <v>1257.8766666666706</v>
      </c>
      <c r="H99" s="489">
        <f>G99/100*23.8</f>
        <v>299.37464666666762</v>
      </c>
      <c r="I99" s="489">
        <f>G99/100*2.88</f>
        <v>36.226848000000111</v>
      </c>
      <c r="J99" s="490">
        <v>5</v>
      </c>
      <c r="K99" s="489">
        <f>((G99/1000)*J99)+((G99/1000)*J99)*1%</f>
        <v>6.3522771666666875</v>
      </c>
      <c r="L99" s="489">
        <f>(G99)/100*8.5</f>
        <v>106.91951666666699</v>
      </c>
      <c r="M99" s="526">
        <f t="shared" si="152"/>
        <v>26538.876923076921</v>
      </c>
      <c r="N99" s="511">
        <f t="shared" si="194"/>
        <v>201.24</v>
      </c>
      <c r="O99" s="511">
        <f t="shared" si="135"/>
        <v>201.24</v>
      </c>
      <c r="P99" s="511">
        <f>O99/13</f>
        <v>15.48</v>
      </c>
      <c r="Q99" s="509">
        <v>1</v>
      </c>
      <c r="R99" s="512" t="s">
        <v>423</v>
      </c>
      <c r="S99" s="832">
        <f>Q99*O99</f>
        <v>201.24</v>
      </c>
      <c r="T99" s="489">
        <f>S99/100*23.8</f>
        <v>47.895119999999999</v>
      </c>
      <c r="U99" s="489">
        <f>S99/100*2.88</f>
        <v>5.795712</v>
      </c>
      <c r="V99" s="490">
        <v>5</v>
      </c>
      <c r="W99" s="489">
        <f>((S99/1000)*V99)+((S99/1000)*V99)*1%</f>
        <v>1.016262</v>
      </c>
      <c r="X99" s="489">
        <f>(S99)/100*8.5</f>
        <v>17.105399999999999</v>
      </c>
      <c r="Z99" s="495" t="s">
        <v>128</v>
      </c>
      <c r="AA99" s="495">
        <v>6</v>
      </c>
      <c r="AB99" s="495">
        <f>AA99*12</f>
        <v>72</v>
      </c>
      <c r="AC99" s="509">
        <v>1</v>
      </c>
      <c r="AD99" s="512" t="s">
        <v>423</v>
      </c>
      <c r="AE99" s="832">
        <f>AC99*AB99</f>
        <v>72</v>
      </c>
      <c r="AF99" s="489">
        <f>AE99/100*23.8</f>
        <v>17.135999999999999</v>
      </c>
      <c r="AG99" s="489"/>
      <c r="AH99" s="490">
        <v>5</v>
      </c>
      <c r="AI99" s="489">
        <f>((AE99/1000)*AH99)+((AE99/1000)*AH99)*1%</f>
        <v>0.36359999999999998</v>
      </c>
      <c r="AJ99" s="489">
        <f>(AE99)/100*8.5</f>
        <v>6.12</v>
      </c>
    </row>
    <row r="100" spans="1:36" ht="16.5" thickBot="1">
      <c r="A100" s="507" t="s">
        <v>128</v>
      </c>
      <c r="B100" s="508">
        <v>27492.57333333333</v>
      </c>
      <c r="C100" s="508">
        <v>28750.45</v>
      </c>
      <c r="D100" s="508">
        <f>C100-B100</f>
        <v>1257.8766666666706</v>
      </c>
      <c r="E100" s="509">
        <v>1</v>
      </c>
      <c r="F100" s="512" t="s">
        <v>424</v>
      </c>
      <c r="G100" s="511">
        <f>E100*D100</f>
        <v>1257.8766666666706</v>
      </c>
      <c r="H100" s="489">
        <f>G100/100*23.8</f>
        <v>299.37464666666762</v>
      </c>
      <c r="I100" s="489">
        <f>G100/100*2.88</f>
        <v>36.226848000000111</v>
      </c>
      <c r="J100" s="490">
        <v>5</v>
      </c>
      <c r="K100" s="489">
        <f>((G100/1000)*J100)+((G100/1000)*J100)*1%</f>
        <v>6.3522771666666875</v>
      </c>
      <c r="L100" s="489">
        <f>(G100)/100*8.5</f>
        <v>106.91951666666699</v>
      </c>
      <c r="M100" s="526">
        <f t="shared" si="152"/>
        <v>26538.876923076921</v>
      </c>
      <c r="N100" s="511">
        <f t="shared" si="194"/>
        <v>201.24</v>
      </c>
      <c r="O100" s="511">
        <f t="shared" si="135"/>
        <v>201.24</v>
      </c>
      <c r="P100" s="511">
        <f>O100/13</f>
        <v>15.48</v>
      </c>
      <c r="Q100" s="509">
        <v>1</v>
      </c>
      <c r="R100" s="512" t="s">
        <v>424</v>
      </c>
      <c r="S100" s="832">
        <f>Q100*O100</f>
        <v>201.24</v>
      </c>
      <c r="T100" s="489">
        <f>S100/100*23.8</f>
        <v>47.895119999999999</v>
      </c>
      <c r="U100" s="489">
        <f>S100/100*2.88</f>
        <v>5.795712</v>
      </c>
      <c r="V100" s="490">
        <v>5</v>
      </c>
      <c r="W100" s="489">
        <f>((S100/1000)*V100)+((S100/1000)*V100)*1%</f>
        <v>1.016262</v>
      </c>
      <c r="X100" s="489">
        <f>(S100)/100*8.5</f>
        <v>17.105399999999999</v>
      </c>
      <c r="Z100" s="495" t="s">
        <v>128</v>
      </c>
      <c r="AA100" s="495">
        <v>6</v>
      </c>
      <c r="AB100" s="495">
        <f>AA100*12</f>
        <v>72</v>
      </c>
      <c r="AC100" s="509">
        <v>1</v>
      </c>
      <c r="AD100" s="512" t="s">
        <v>424</v>
      </c>
      <c r="AE100" s="832">
        <f>AC100*AB100</f>
        <v>72</v>
      </c>
      <c r="AF100" s="489">
        <f>AE100/100*23.8</f>
        <v>17.135999999999999</v>
      </c>
      <c r="AG100" s="489"/>
      <c r="AH100" s="490">
        <v>5</v>
      </c>
      <c r="AI100" s="489">
        <f>((AE100/1000)*AH100)+((AE100/1000)*AH100)*1%</f>
        <v>0.36359999999999998</v>
      </c>
      <c r="AJ100" s="489">
        <f>(AE100)/100*8.5</f>
        <v>6.12</v>
      </c>
    </row>
    <row r="101" spans="1:36" ht="16.5" thickBot="1">
      <c r="A101" s="507" t="s">
        <v>128</v>
      </c>
      <c r="B101" s="508">
        <v>27492.57333333333</v>
      </c>
      <c r="C101" s="508">
        <v>28750.45</v>
      </c>
      <c r="D101" s="508">
        <f>C101-B101</f>
        <v>1257.8766666666706</v>
      </c>
      <c r="E101" s="509">
        <v>1</v>
      </c>
      <c r="F101" s="512" t="s">
        <v>425</v>
      </c>
      <c r="G101" s="511">
        <f>E101*D101</f>
        <v>1257.8766666666706</v>
      </c>
      <c r="H101" s="489">
        <f>G101/100*23.8</f>
        <v>299.37464666666762</v>
      </c>
      <c r="I101" s="489">
        <f>G101/100*2.88</f>
        <v>36.226848000000111</v>
      </c>
      <c r="J101" s="490">
        <v>5</v>
      </c>
      <c r="K101" s="489">
        <f>((G101/1000)*J101)+((G101/1000)*J101)*1%</f>
        <v>6.3522771666666875</v>
      </c>
      <c r="L101" s="489">
        <f>(G101)/100*8.5</f>
        <v>106.91951666666699</v>
      </c>
      <c r="M101" s="526">
        <f t="shared" si="152"/>
        <v>26538.876923076921</v>
      </c>
      <c r="N101" s="511">
        <f t="shared" si="194"/>
        <v>201.24</v>
      </c>
      <c r="O101" s="511">
        <f t="shared" si="135"/>
        <v>201.24</v>
      </c>
      <c r="P101" s="511">
        <f>O101/13</f>
        <v>15.48</v>
      </c>
      <c r="Q101" s="509">
        <v>1</v>
      </c>
      <c r="R101" s="512" t="s">
        <v>425</v>
      </c>
      <c r="S101" s="832">
        <f>Q101*O101</f>
        <v>201.24</v>
      </c>
      <c r="T101" s="489">
        <f>S101/100*23.8</f>
        <v>47.895119999999999</v>
      </c>
      <c r="U101" s="489">
        <f>S101/100*2.88</f>
        <v>5.795712</v>
      </c>
      <c r="V101" s="490">
        <v>5</v>
      </c>
      <c r="W101" s="489">
        <f>((S101/1000)*V101)+((S101/1000)*V101)*1%</f>
        <v>1.016262</v>
      </c>
      <c r="X101" s="489">
        <f>(S101)/100*8.5</f>
        <v>17.105399999999999</v>
      </c>
      <c r="Z101" s="495" t="s">
        <v>128</v>
      </c>
      <c r="AA101" s="495">
        <v>6</v>
      </c>
      <c r="AB101" s="495">
        <f>AA101*12</f>
        <v>72</v>
      </c>
      <c r="AC101" s="509">
        <v>1</v>
      </c>
      <c r="AD101" s="512" t="s">
        <v>425</v>
      </c>
      <c r="AE101" s="832">
        <f>AC101*AB101</f>
        <v>72</v>
      </c>
      <c r="AF101" s="489">
        <f>AE101/100*23.8</f>
        <v>17.135999999999999</v>
      </c>
      <c r="AG101" s="489"/>
      <c r="AH101" s="490">
        <v>5</v>
      </c>
      <c r="AI101" s="489">
        <f>((AE101/1000)*AH101)+((AE101/1000)*AH101)*1%</f>
        <v>0.36359999999999998</v>
      </c>
      <c r="AJ101" s="489">
        <f>(AE101)/100*8.5</f>
        <v>6.12</v>
      </c>
    </row>
    <row r="102" spans="1:36" ht="16.5" thickBot="1">
      <c r="A102" s="507" t="s">
        <v>128</v>
      </c>
      <c r="B102" s="508">
        <v>27492.57333333333</v>
      </c>
      <c r="C102" s="508">
        <v>28750.45</v>
      </c>
      <c r="D102" s="508">
        <f>C102-B102</f>
        <v>1257.8766666666706</v>
      </c>
      <c r="E102" s="509">
        <v>1</v>
      </c>
      <c r="F102" s="512" t="s">
        <v>426</v>
      </c>
      <c r="G102" s="511">
        <f>E102*D102</f>
        <v>1257.8766666666706</v>
      </c>
      <c r="H102" s="489">
        <f>G102/100*23.8</f>
        <v>299.37464666666762</v>
      </c>
      <c r="I102" s="489">
        <f>G102/100*2.88</f>
        <v>36.226848000000111</v>
      </c>
      <c r="J102" s="490">
        <v>9</v>
      </c>
      <c r="K102" s="489">
        <f>((G102/1000)*J102)+((G102/1000)*J102)*1%</f>
        <v>11.434098900000038</v>
      </c>
      <c r="L102" s="489">
        <f>(G102)/100*8.5</f>
        <v>106.91951666666699</v>
      </c>
      <c r="M102" s="526">
        <f t="shared" si="152"/>
        <v>26538.876923076921</v>
      </c>
      <c r="N102" s="511">
        <f t="shared" si="194"/>
        <v>201.24</v>
      </c>
      <c r="O102" s="511">
        <f t="shared" si="135"/>
        <v>201.24</v>
      </c>
      <c r="P102" s="511">
        <f>O102/13</f>
        <v>15.48</v>
      </c>
      <c r="Q102" s="509">
        <v>1</v>
      </c>
      <c r="R102" s="512" t="s">
        <v>426</v>
      </c>
      <c r="S102" s="832">
        <f>Q102*O102</f>
        <v>201.24</v>
      </c>
      <c r="T102" s="489">
        <f>S102/100*23.8</f>
        <v>47.895119999999999</v>
      </c>
      <c r="U102" s="489">
        <f>S102/100*2.88</f>
        <v>5.795712</v>
      </c>
      <c r="V102" s="490">
        <v>9</v>
      </c>
      <c r="W102" s="489">
        <f>((S102/1000)*V102)+((S102/1000)*V102)*1%</f>
        <v>1.8292716</v>
      </c>
      <c r="X102" s="489">
        <f>(S102)/100*8.5</f>
        <v>17.105399999999999</v>
      </c>
      <c r="Z102" s="495" t="s">
        <v>128</v>
      </c>
      <c r="AA102" s="495">
        <v>6</v>
      </c>
      <c r="AB102" s="495">
        <f>AA102*12</f>
        <v>72</v>
      </c>
      <c r="AC102" s="509">
        <v>1</v>
      </c>
      <c r="AD102" s="512" t="s">
        <v>426</v>
      </c>
      <c r="AE102" s="832">
        <f>AC102*AB102</f>
        <v>72</v>
      </c>
      <c r="AF102" s="489">
        <f>AE102/100*23.8</f>
        <v>17.135999999999999</v>
      </c>
      <c r="AG102" s="489"/>
      <c r="AH102" s="490">
        <v>9</v>
      </c>
      <c r="AI102" s="489">
        <f>((AE102/1000)*AH102)+((AE102/1000)*AH102)*1%</f>
        <v>0.65447999999999995</v>
      </c>
      <c r="AJ102" s="489">
        <f>(AE102)/100*8.5</f>
        <v>6.12</v>
      </c>
    </row>
    <row r="103" spans="1:36" ht="16.5" thickBot="1">
      <c r="A103" s="507" t="s">
        <v>128</v>
      </c>
      <c r="B103" s="508">
        <v>27492.57333333333</v>
      </c>
      <c r="C103" s="508">
        <v>28750.45</v>
      </c>
      <c r="D103" s="508">
        <f>C103-B103</f>
        <v>1257.8766666666706</v>
      </c>
      <c r="E103" s="509">
        <v>1</v>
      </c>
      <c r="F103" s="512" t="s">
        <v>418</v>
      </c>
      <c r="G103" s="511">
        <f>E103*D103</f>
        <v>1257.8766666666706</v>
      </c>
      <c r="H103" s="489">
        <f>G103/100*23.8</f>
        <v>299.37464666666762</v>
      </c>
      <c r="I103" s="489">
        <f>G103/100*2.88</f>
        <v>36.226848000000111</v>
      </c>
      <c r="J103" s="490">
        <v>5</v>
      </c>
      <c r="K103" s="489">
        <f>((G103/1000)*J103)+((G103/1000)*J103)*1%</f>
        <v>6.3522771666666875</v>
      </c>
      <c r="L103" s="489">
        <f>(G103)/100*8.5</f>
        <v>106.91951666666699</v>
      </c>
      <c r="M103" s="526">
        <f t="shared" ref="M103" si="195">C103/13*12</f>
        <v>26538.876923076921</v>
      </c>
      <c r="N103" s="511">
        <f t="shared" si="194"/>
        <v>201.24</v>
      </c>
      <c r="O103" s="511">
        <f t="shared" si="135"/>
        <v>201.24</v>
      </c>
      <c r="P103" s="511">
        <f>O103/13</f>
        <v>15.48</v>
      </c>
      <c r="Q103" s="509">
        <v>1</v>
      </c>
      <c r="R103" s="512" t="s">
        <v>418</v>
      </c>
      <c r="S103" s="832">
        <f>Q103*O103</f>
        <v>201.24</v>
      </c>
      <c r="T103" s="489">
        <f>S103/100*23.8</f>
        <v>47.895119999999999</v>
      </c>
      <c r="U103" s="489">
        <f>S103/100*2.88</f>
        <v>5.795712</v>
      </c>
      <c r="V103" s="490">
        <v>5</v>
      </c>
      <c r="W103" s="489">
        <f>((S103/1000)*V103)+((S103/1000)*V103)*1%</f>
        <v>1.016262</v>
      </c>
      <c r="X103" s="489">
        <f>(S103)/100*8.5</f>
        <v>17.105399999999999</v>
      </c>
      <c r="Z103" s="495" t="s">
        <v>128</v>
      </c>
      <c r="AA103" s="495">
        <v>6</v>
      </c>
      <c r="AB103" s="495">
        <f>AA103*12</f>
        <v>72</v>
      </c>
      <c r="AC103" s="509">
        <v>1</v>
      </c>
      <c r="AD103" s="512" t="s">
        <v>418</v>
      </c>
      <c r="AE103" s="832">
        <f>AC103*AB103</f>
        <v>72</v>
      </c>
      <c r="AF103" s="489">
        <f>AE103/100*23.8</f>
        <v>17.135999999999999</v>
      </c>
      <c r="AG103" s="489"/>
      <c r="AH103" s="490">
        <v>5</v>
      </c>
      <c r="AI103" s="489">
        <f>((AE103/1000)*AH103)+((AE103/1000)*AH103)*1%</f>
        <v>0.36359999999999998</v>
      </c>
      <c r="AJ103" s="489">
        <f>(AE103)/100*8.5</f>
        <v>6.12</v>
      </c>
    </row>
    <row r="104" spans="1:36" ht="16.5" thickBot="1">
      <c r="A104" s="507" t="s">
        <v>126</v>
      </c>
      <c r="B104" s="508">
        <v>28720.098333333332</v>
      </c>
      <c r="C104" s="508">
        <v>30034.01</v>
      </c>
      <c r="D104" s="508">
        <f t="shared" si="159"/>
        <v>1313.9116666666669</v>
      </c>
      <c r="E104" s="509">
        <v>1</v>
      </c>
      <c r="F104" s="512" t="s">
        <v>427</v>
      </c>
      <c r="G104" s="511">
        <f t="shared" si="160"/>
        <v>1313.9116666666669</v>
      </c>
      <c r="H104" s="489">
        <f t="shared" si="161"/>
        <v>312.71097666666674</v>
      </c>
      <c r="I104" s="489">
        <f t="shared" si="162"/>
        <v>37.840656000000003</v>
      </c>
      <c r="J104" s="490">
        <v>5</v>
      </c>
      <c r="K104" s="489">
        <f t="shared" si="163"/>
        <v>6.6352539166666675</v>
      </c>
      <c r="L104" s="489">
        <f t="shared" si="164"/>
        <v>111.68249166666668</v>
      </c>
      <c r="M104" s="526">
        <f t="shared" si="152"/>
        <v>27723.701538461537</v>
      </c>
      <c r="N104" s="511">
        <f>16.17*13</f>
        <v>210.21000000000004</v>
      </c>
      <c r="O104" s="511">
        <f t="shared" si="135"/>
        <v>210.21000000000004</v>
      </c>
      <c r="P104" s="511">
        <f t="shared" si="165"/>
        <v>16.170000000000002</v>
      </c>
      <c r="Q104" s="509">
        <v>1</v>
      </c>
      <c r="R104" s="512" t="s">
        <v>427</v>
      </c>
      <c r="S104" s="832">
        <f t="shared" si="166"/>
        <v>210.21000000000004</v>
      </c>
      <c r="T104" s="489">
        <f t="shared" si="167"/>
        <v>50.029980000000016</v>
      </c>
      <c r="U104" s="489">
        <f t="shared" si="168"/>
        <v>6.0540480000000017</v>
      </c>
      <c r="V104" s="490">
        <v>5</v>
      </c>
      <c r="W104" s="489">
        <f t="shared" si="13"/>
        <v>1.0615605000000004</v>
      </c>
      <c r="X104" s="489">
        <f t="shared" si="169"/>
        <v>17.867850000000004</v>
      </c>
      <c r="Z104" s="495" t="s">
        <v>328</v>
      </c>
      <c r="AA104" s="495">
        <v>2</v>
      </c>
      <c r="AB104" s="495">
        <f t="shared" si="170"/>
        <v>24</v>
      </c>
      <c r="AC104" s="509">
        <v>1</v>
      </c>
      <c r="AD104" s="512" t="s">
        <v>427</v>
      </c>
      <c r="AE104" s="832">
        <f t="shared" si="171"/>
        <v>24</v>
      </c>
      <c r="AF104" s="489">
        <f t="shared" si="172"/>
        <v>5.7119999999999997</v>
      </c>
      <c r="AG104" s="489"/>
      <c r="AH104" s="490">
        <v>5</v>
      </c>
      <c r="AI104" s="489">
        <f t="shared" si="14"/>
        <v>0.1212</v>
      </c>
      <c r="AJ104" s="489">
        <f t="shared" si="173"/>
        <v>2.04</v>
      </c>
    </row>
    <row r="105" spans="1:36" ht="16.5" thickBot="1">
      <c r="A105" s="507" t="s">
        <v>171</v>
      </c>
      <c r="B105" s="508">
        <v>30704.613333333335</v>
      </c>
      <c r="C105" s="508">
        <v>32108.74</v>
      </c>
      <c r="D105" s="508">
        <f t="shared" si="159"/>
        <v>1404.126666666667</v>
      </c>
      <c r="E105" s="509">
        <v>1</v>
      </c>
      <c r="F105" s="512" t="s">
        <v>428</v>
      </c>
      <c r="G105" s="519">
        <f t="shared" si="160"/>
        <v>1404.126666666667</v>
      </c>
      <c r="H105" s="489">
        <f t="shared" si="161"/>
        <v>334.18214666666677</v>
      </c>
      <c r="I105" s="489">
        <f t="shared" si="162"/>
        <v>40.438848000000007</v>
      </c>
      <c r="J105" s="490">
        <v>5</v>
      </c>
      <c r="K105" s="489">
        <f t="shared" si="163"/>
        <v>7.0908396666666675</v>
      </c>
      <c r="L105" s="489">
        <f t="shared" si="164"/>
        <v>119.3507666666667</v>
      </c>
      <c r="M105" s="526">
        <f t="shared" si="152"/>
        <v>29638.836923076924</v>
      </c>
      <c r="N105" s="511">
        <f>17.29*13</f>
        <v>224.76999999999998</v>
      </c>
      <c r="O105" s="511">
        <f t="shared" si="135"/>
        <v>224.76999999999998</v>
      </c>
      <c r="P105" s="511">
        <f t="shared" si="165"/>
        <v>17.29</v>
      </c>
      <c r="Q105" s="509">
        <v>1</v>
      </c>
      <c r="R105" s="512" t="s">
        <v>428</v>
      </c>
      <c r="S105" s="836">
        <f t="shared" si="166"/>
        <v>224.76999999999998</v>
      </c>
      <c r="T105" s="489">
        <f t="shared" si="167"/>
        <v>53.495260000000002</v>
      </c>
      <c r="U105" s="489">
        <f t="shared" si="168"/>
        <v>6.473376</v>
      </c>
      <c r="V105" s="490">
        <v>5</v>
      </c>
      <c r="W105" s="489">
        <f t="shared" si="13"/>
        <v>1.1350884999999997</v>
      </c>
      <c r="X105" s="489">
        <f t="shared" si="169"/>
        <v>19.105450000000001</v>
      </c>
      <c r="Z105" s="520" t="s">
        <v>329</v>
      </c>
      <c r="AA105" s="495">
        <v>2</v>
      </c>
      <c r="AB105" s="495">
        <f t="shared" si="170"/>
        <v>24</v>
      </c>
      <c r="AC105" s="509">
        <v>1</v>
      </c>
      <c r="AD105" s="512" t="s">
        <v>428</v>
      </c>
      <c r="AE105" s="836">
        <f t="shared" si="171"/>
        <v>24</v>
      </c>
      <c r="AF105" s="489">
        <f t="shared" si="172"/>
        <v>5.7119999999999997</v>
      </c>
      <c r="AG105" s="489"/>
      <c r="AH105" s="490">
        <v>5</v>
      </c>
      <c r="AI105" s="489">
        <f t="shared" si="14"/>
        <v>0.1212</v>
      </c>
      <c r="AJ105" s="489">
        <f t="shared" si="173"/>
        <v>2.04</v>
      </c>
    </row>
    <row r="106" spans="1:36" ht="13.5" thickBot="1">
      <c r="G106" s="521">
        <f>SUM(G4:G105)</f>
        <v>66774.386919666649</v>
      </c>
      <c r="H106" s="522">
        <f>SUM(H4:H105)</f>
        <v>15892.304086880658</v>
      </c>
      <c r="I106" s="523">
        <f>SUM(I4:I105)</f>
        <v>1923.102343286399</v>
      </c>
      <c r="J106" s="523"/>
      <c r="K106" s="523">
        <f>SUM(K4:K105)</f>
        <v>694.59093508334399</v>
      </c>
      <c r="L106" s="523">
        <f>SUM(L4:L105)</f>
        <v>4627.1519773383297</v>
      </c>
      <c r="S106" s="521">
        <f>SUM(S6:S105)</f>
        <v>11272.49933333333</v>
      </c>
      <c r="T106" s="522">
        <f>SUM(T6:T105)</f>
        <v>2682.8548413333351</v>
      </c>
      <c r="U106" s="523">
        <f>SUM(U6:U105)</f>
        <v>324.64798079999969</v>
      </c>
      <c r="V106" s="523"/>
      <c r="W106" s="523">
        <f>SUM(W6:W105)</f>
        <v>114.09803467833333</v>
      </c>
      <c r="X106" s="523">
        <f>SUM(X6:X105)</f>
        <v>790.38808333333384</v>
      </c>
      <c r="AE106" s="521">
        <f>SUM(AE4:AE105)</f>
        <v>14319.999999999998</v>
      </c>
      <c r="AF106" s="522">
        <f>SUM(AF4:AF105)</f>
        <v>3408.1600000000003</v>
      </c>
      <c r="AG106" s="523">
        <f>SUM(AG4:AG105)</f>
        <v>0</v>
      </c>
      <c r="AH106" s="523"/>
      <c r="AI106" s="523">
        <f>SUM(AI4:AI105)</f>
        <v>157.52222599999999</v>
      </c>
      <c r="AJ106" s="523">
        <f>SUM(AJ4:AJ105)</f>
        <v>934.76199999999983</v>
      </c>
    </row>
    <row r="107" spans="1:36" ht="13.5" thickBot="1">
      <c r="C107" s="495" t="s">
        <v>330</v>
      </c>
      <c r="E107" s="524">
        <f>SUM(E6:E106)</f>
        <v>67.355533333333341</v>
      </c>
    </row>
    <row r="108" spans="1:36" ht="21" thickBot="1">
      <c r="G108" s="639">
        <f>G106+H106+I106+K106+L106</f>
        <v>89911.53626225538</v>
      </c>
      <c r="H108" s="506" t="s">
        <v>436</v>
      </c>
      <c r="S108" s="525">
        <f>S106+T106+U106+W106+X106+AE106+AF106+AG106+AI106+AJ106</f>
        <v>34004.932499478338</v>
      </c>
      <c r="T108" s="506" t="s">
        <v>429</v>
      </c>
      <c r="AB108" s="520"/>
    </row>
    <row r="109" spans="1:36" ht="13.5" thickBot="1"/>
    <row r="110" spans="1:36" ht="21" thickBot="1">
      <c r="S110" s="525">
        <f>83.2*S112</f>
        <v>6156.8</v>
      </c>
      <c r="T110" s="489">
        <f>S110/100*23.8</f>
        <v>1465.3184000000001</v>
      </c>
      <c r="U110" s="489">
        <f>S110/100*2.88</f>
        <v>177.31584000000001</v>
      </c>
      <c r="V110" s="489"/>
      <c r="W110" s="489">
        <f>(S110*0.01185)+((S110*0.01185)*1%)</f>
        <v>73.687660799999989</v>
      </c>
      <c r="X110" s="489">
        <f>(S110)/100*8.5</f>
        <v>523.32800000000009</v>
      </c>
    </row>
    <row r="111" spans="1:36" ht="13.5" thickBot="1">
      <c r="T111" s="495" t="s">
        <v>430</v>
      </c>
    </row>
    <row r="112" spans="1:36" ht="13.5" thickBot="1">
      <c r="G112" s="868"/>
      <c r="H112" s="868"/>
      <c r="S112" s="492">
        <v>74</v>
      </c>
      <c r="T112" s="495" t="s">
        <v>431</v>
      </c>
    </row>
    <row r="113" spans="1:19">
      <c r="G113" s="506"/>
    </row>
    <row r="115" spans="1:19">
      <c r="A115" s="506" t="s">
        <v>568</v>
      </c>
      <c r="B115" s="506" t="s">
        <v>569</v>
      </c>
    </row>
    <row r="116" spans="1:19" ht="15">
      <c r="A116" s="631">
        <v>1607414</v>
      </c>
      <c r="B116" s="631">
        <v>357906</v>
      </c>
    </row>
    <row r="117" spans="1:19" ht="76.5">
      <c r="A117" s="631">
        <v>24926</v>
      </c>
      <c r="B117" s="631">
        <v>44707</v>
      </c>
      <c r="E117" s="636" t="s">
        <v>570</v>
      </c>
      <c r="F117" s="637" t="s">
        <v>354</v>
      </c>
      <c r="G117" s="638" t="s">
        <v>355</v>
      </c>
      <c r="H117" s="638" t="s">
        <v>356</v>
      </c>
      <c r="I117" s="638" t="s">
        <v>357</v>
      </c>
      <c r="J117" s="638" t="s">
        <v>358</v>
      </c>
      <c r="K117" s="638" t="s">
        <v>571</v>
      </c>
    </row>
    <row r="118" spans="1:19" ht="15">
      <c r="A118" s="632">
        <f>A116-A117</f>
        <v>1582488</v>
      </c>
      <c r="B118" s="632">
        <f>B116-B117</f>
        <v>313199</v>
      </c>
      <c r="C118" s="632">
        <f>A118+B118</f>
        <v>1895687</v>
      </c>
      <c r="D118" s="495">
        <f>C118*1.9%</f>
        <v>36018.053</v>
      </c>
      <c r="E118" s="516">
        <f>D118-S106</f>
        <v>24745.55366666667</v>
      </c>
      <c r="F118" s="633">
        <f>E118/100*23.8</f>
        <v>5889.4417726666679</v>
      </c>
      <c r="G118" s="633">
        <f>E118/100*2.88</f>
        <v>712.67194560000007</v>
      </c>
      <c r="H118" s="634">
        <v>11.85</v>
      </c>
      <c r="I118" s="633">
        <f t="shared" ref="I118" si="196">((E118/1000)*H118)+((E118/1000)*H118)*1%</f>
        <v>296.16715905950008</v>
      </c>
      <c r="J118" s="633">
        <f>(E118)/100*8.5</f>
        <v>2103.3720616666669</v>
      </c>
      <c r="K118" s="635">
        <f>E118+F118+G118+I118+J118</f>
        <v>33747.206605659507</v>
      </c>
      <c r="N118" s="868"/>
      <c r="O118" s="868"/>
    </row>
    <row r="121" spans="1:19">
      <c r="S121" s="495">
        <f>1*11995</f>
        <v>11995</v>
      </c>
    </row>
  </sheetData>
  <autoFilter ref="A2:L106"/>
  <phoneticPr fontId="34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6"/>
  <sheetViews>
    <sheetView topLeftCell="A13" zoomScaleNormal="100" workbookViewId="0">
      <selection activeCell="I21" sqref="I21"/>
    </sheetView>
  </sheetViews>
  <sheetFormatPr defaultRowHeight="15"/>
  <cols>
    <col min="1" max="1" width="17.85546875" customWidth="1"/>
    <col min="2" max="2" width="14.42578125" customWidth="1"/>
    <col min="3" max="3" width="18.28515625" customWidth="1"/>
    <col min="4" max="4" width="9.28515625" customWidth="1"/>
    <col min="5" max="5" width="15.42578125" customWidth="1"/>
    <col min="6" max="6" width="16.28515625" customWidth="1"/>
    <col min="7" max="7" width="3.42578125" customWidth="1"/>
    <col min="8" max="8" width="15.85546875" bestFit="1" customWidth="1"/>
    <col min="9" max="9" width="17" customWidth="1"/>
    <col min="10" max="10" width="17.85546875" customWidth="1"/>
    <col min="11" max="11" width="2.28515625" customWidth="1"/>
    <col min="12" max="12" width="14.7109375" customWidth="1"/>
    <col min="13" max="13" width="1.7109375" style="409" customWidth="1"/>
    <col min="14" max="14" width="13" customWidth="1"/>
    <col min="15" max="15" width="22.140625" customWidth="1"/>
    <col min="17" max="17" width="14.140625" customWidth="1"/>
    <col min="18" max="18" width="15.140625" bestFit="1" customWidth="1"/>
    <col min="19" max="19" width="14" bestFit="1" customWidth="1"/>
    <col min="20" max="20" width="11.28515625" bestFit="1" customWidth="1"/>
    <col min="21" max="21" width="14" customWidth="1"/>
    <col min="22" max="22" width="18.5703125" customWidth="1"/>
    <col min="23" max="23" width="16.7109375" customWidth="1"/>
  </cols>
  <sheetData>
    <row r="1" spans="1:14">
      <c r="A1" s="46"/>
    </row>
    <row r="2" spans="1:14">
      <c r="A2" s="46"/>
      <c r="B2" s="1058" t="s">
        <v>503</v>
      </c>
      <c r="C2" s="1058"/>
      <c r="E2" s="1058" t="s">
        <v>504</v>
      </c>
      <c r="F2" s="1058"/>
      <c r="H2" s="1058" t="s">
        <v>86</v>
      </c>
      <c r="I2" s="1058"/>
      <c r="J2" s="568" t="s">
        <v>92</v>
      </c>
      <c r="L2" s="583" t="s">
        <v>548</v>
      </c>
      <c r="M2" s="789"/>
      <c r="N2" s="582" t="s">
        <v>92</v>
      </c>
    </row>
    <row r="3" spans="1:14">
      <c r="A3" s="46"/>
      <c r="B3" s="1" t="s">
        <v>505</v>
      </c>
      <c r="C3" s="588" t="s">
        <v>506</v>
      </c>
      <c r="E3" s="1" t="s">
        <v>505</v>
      </c>
      <c r="F3" s="1" t="s">
        <v>506</v>
      </c>
      <c r="H3" s="1" t="s">
        <v>505</v>
      </c>
      <c r="I3" s="1" t="s">
        <v>506</v>
      </c>
      <c r="N3" s="788"/>
    </row>
    <row r="4" spans="1:14">
      <c r="A4" s="46"/>
      <c r="B4" s="549" t="s">
        <v>487</v>
      </c>
      <c r="C4" s="587">
        <f>'PREV2020 '!S17</f>
        <v>121587.37</v>
      </c>
      <c r="E4" s="549" t="s">
        <v>507</v>
      </c>
      <c r="F4" s="587">
        <f>'PREV2020 '!AF17</f>
        <v>32940</v>
      </c>
      <c r="H4" s="549" t="s">
        <v>508</v>
      </c>
      <c r="I4" s="587">
        <f>'PREV2020 '!AG17</f>
        <v>10335</v>
      </c>
      <c r="J4" s="550">
        <f>C4+F4+I4</f>
        <v>164862.37</v>
      </c>
      <c r="K4" s="552"/>
      <c r="L4" s="1">
        <v>0</v>
      </c>
      <c r="N4" s="550">
        <f>J4+L4</f>
        <v>164862.37</v>
      </c>
    </row>
    <row r="5" spans="1:14" ht="30">
      <c r="A5" s="900" t="s">
        <v>720</v>
      </c>
      <c r="B5" s="549" t="s">
        <v>509</v>
      </c>
      <c r="C5" s="587">
        <f>'PREV2020 '!S25</f>
        <v>12575.764000000001</v>
      </c>
      <c r="E5" s="549" t="s">
        <v>510</v>
      </c>
      <c r="F5" s="587">
        <f>'PREV2020 '!AF25</f>
        <v>3600</v>
      </c>
      <c r="H5" s="549" t="s">
        <v>511</v>
      </c>
      <c r="I5" s="587">
        <f>'PREV2020 '!AG25</f>
        <v>1069</v>
      </c>
      <c r="J5" s="550">
        <f t="shared" ref="J5:J19" si="0">C5+F5+I5</f>
        <v>17244.764000000003</v>
      </c>
      <c r="L5" s="1">
        <v>0</v>
      </c>
      <c r="N5" s="550">
        <f t="shared" ref="N5:N19" si="1">J5+L5</f>
        <v>17244.764000000003</v>
      </c>
    </row>
    <row r="6" spans="1:14" ht="30">
      <c r="A6" s="900" t="s">
        <v>719</v>
      </c>
      <c r="B6" s="551" t="s">
        <v>488</v>
      </c>
      <c r="C6" s="587">
        <f>'PREV2020 '!S29</f>
        <v>131121.19149999999</v>
      </c>
      <c r="E6" s="549" t="s">
        <v>512</v>
      </c>
      <c r="F6" s="587">
        <f>'PREV2020 '!AF29</f>
        <v>35539</v>
      </c>
      <c r="H6" s="551" t="s">
        <v>508</v>
      </c>
      <c r="I6" s="587">
        <f>'PREV2020 '!AG29</f>
        <v>11145</v>
      </c>
      <c r="J6" s="550">
        <f t="shared" si="0"/>
        <v>177805.19149999999</v>
      </c>
      <c r="L6" s="1">
        <v>0</v>
      </c>
      <c r="N6" s="550">
        <f t="shared" si="1"/>
        <v>177805.19149999999</v>
      </c>
    </row>
    <row r="7" spans="1:14">
      <c r="A7" s="46"/>
      <c r="B7" s="551" t="s">
        <v>490</v>
      </c>
      <c r="C7" s="587">
        <f>'PREV2020 '!S42-'PREV2020 '!R42</f>
        <v>178711.44000000003</v>
      </c>
      <c r="E7" s="551" t="s">
        <v>513</v>
      </c>
      <c r="F7" s="587">
        <f>'PREV2020 '!AF42</f>
        <v>48430</v>
      </c>
      <c r="H7" s="551" t="s">
        <v>514</v>
      </c>
      <c r="I7" s="587">
        <f>'PREV2020 '!AG42</f>
        <v>15190</v>
      </c>
      <c r="J7" s="550">
        <f t="shared" si="0"/>
        <v>242331.44000000003</v>
      </c>
      <c r="L7" s="550">
        <f>'PREV2020 '!R42</f>
        <v>2237.4</v>
      </c>
      <c r="M7" s="620"/>
      <c r="N7" s="550">
        <f t="shared" si="1"/>
        <v>244568.84000000003</v>
      </c>
    </row>
    <row r="8" spans="1:14">
      <c r="A8" s="46"/>
      <c r="B8" s="551" t="s">
        <v>491</v>
      </c>
      <c r="C8" s="587">
        <f>'PREV2020 '!S55</f>
        <v>100414.68</v>
      </c>
      <c r="E8" s="551" t="s">
        <v>515</v>
      </c>
      <c r="F8" s="587">
        <f>'PREV2020 '!AF55</f>
        <v>27210</v>
      </c>
      <c r="H8" s="551" t="s">
        <v>516</v>
      </c>
      <c r="I8" s="587">
        <f>'PREV2020 '!AG55</f>
        <v>8535</v>
      </c>
      <c r="J8" s="550">
        <f t="shared" si="0"/>
        <v>136159.67999999999</v>
      </c>
      <c r="L8" s="1">
        <v>0</v>
      </c>
      <c r="N8" s="550">
        <f t="shared" si="1"/>
        <v>136159.67999999999</v>
      </c>
    </row>
    <row r="9" spans="1:14">
      <c r="A9" s="46"/>
      <c r="B9" s="551" t="s">
        <v>492</v>
      </c>
      <c r="C9" s="587">
        <f>'PREV2020 '!S75</f>
        <v>131922.60500000001</v>
      </c>
      <c r="E9" s="551" t="s">
        <v>517</v>
      </c>
      <c r="F9" s="587">
        <f>'PREV2020 '!AF75</f>
        <v>35733</v>
      </c>
      <c r="H9" s="551" t="s">
        <v>518</v>
      </c>
      <c r="I9" s="587">
        <f>'PREV2020 '!AG75</f>
        <v>11213</v>
      </c>
      <c r="J9" s="550">
        <f t="shared" si="0"/>
        <v>178868.60500000001</v>
      </c>
      <c r="L9" s="1">
        <v>0</v>
      </c>
      <c r="N9" s="550">
        <f t="shared" si="1"/>
        <v>178868.60500000001</v>
      </c>
    </row>
    <row r="10" spans="1:14" s="901" customFormat="1" ht="45">
      <c r="A10" s="894" t="s">
        <v>721</v>
      </c>
      <c r="B10" s="646" t="s">
        <v>493</v>
      </c>
      <c r="C10" s="647">
        <f>'PREV2020 '!S82</f>
        <v>74536.940833333327</v>
      </c>
      <c r="E10" s="646" t="s">
        <v>519</v>
      </c>
      <c r="F10" s="647">
        <f>'PREV2020 '!AF82</f>
        <v>21424</v>
      </c>
      <c r="H10" s="646" t="s">
        <v>520</v>
      </c>
      <c r="I10" s="647">
        <f>'PREV2020 '!AG82</f>
        <v>6336</v>
      </c>
      <c r="J10" s="649">
        <f t="shared" si="0"/>
        <v>102296.94083333333</v>
      </c>
      <c r="L10" s="782">
        <v>0</v>
      </c>
      <c r="M10" s="790"/>
      <c r="N10" s="649">
        <f t="shared" si="1"/>
        <v>102296.94083333333</v>
      </c>
    </row>
    <row r="11" spans="1:14">
      <c r="A11" s="900" t="s">
        <v>550</v>
      </c>
      <c r="B11" s="551" t="s">
        <v>494</v>
      </c>
      <c r="C11" s="587">
        <f>'PREV2020 '!S91</f>
        <v>117056.32200000001</v>
      </c>
      <c r="E11" s="551" t="s">
        <v>521</v>
      </c>
      <c r="F11" s="587">
        <f>'PREV2020 '!AF91</f>
        <v>31732</v>
      </c>
      <c r="H11" s="551" t="s">
        <v>522</v>
      </c>
      <c r="I11" s="587">
        <f>'PREV2020 '!AG91</f>
        <v>9950</v>
      </c>
      <c r="J11" s="550">
        <f t="shared" si="0"/>
        <v>158738.32200000001</v>
      </c>
      <c r="L11" s="1">
        <v>0</v>
      </c>
      <c r="N11" s="550">
        <f t="shared" si="1"/>
        <v>158738.32200000001</v>
      </c>
    </row>
    <row r="12" spans="1:14">
      <c r="A12" s="46"/>
      <c r="B12" s="551" t="s">
        <v>495</v>
      </c>
      <c r="C12" s="587">
        <f>'PREV2020 '!S102</f>
        <v>44436.680000000008</v>
      </c>
      <c r="E12" s="551" t="s">
        <v>523</v>
      </c>
      <c r="F12" s="587">
        <f>'PREV2020 '!AF102</f>
        <v>12435</v>
      </c>
      <c r="H12" s="551" t="s">
        <v>524</v>
      </c>
      <c r="I12" s="587">
        <f>'PREV2020 '!AG102</f>
        <v>3777</v>
      </c>
      <c r="J12" s="550">
        <f t="shared" si="0"/>
        <v>60648.680000000008</v>
      </c>
      <c r="L12" s="1">
        <v>0</v>
      </c>
      <c r="N12" s="550">
        <f t="shared" si="1"/>
        <v>60648.680000000008</v>
      </c>
    </row>
    <row r="13" spans="1:14" ht="26.25" customHeight="1">
      <c r="A13" s="894" t="s">
        <v>722</v>
      </c>
      <c r="B13" s="646" t="s">
        <v>496</v>
      </c>
      <c r="C13" s="647">
        <f>'PREV2020 '!S107</f>
        <v>0</v>
      </c>
      <c r="E13" s="646" t="s">
        <v>525</v>
      </c>
      <c r="F13" s="647">
        <f>'PREV2020 '!AF107</f>
        <v>0</v>
      </c>
      <c r="H13" s="646" t="s">
        <v>526</v>
      </c>
      <c r="I13" s="647">
        <f>'PREV2020 '!AG107</f>
        <v>0</v>
      </c>
      <c r="J13" s="649">
        <f t="shared" si="0"/>
        <v>0</v>
      </c>
      <c r="L13" s="782">
        <v>0</v>
      </c>
      <c r="M13" s="790"/>
      <c r="N13" s="649">
        <f t="shared" si="1"/>
        <v>0</v>
      </c>
    </row>
    <row r="14" spans="1:14" s="901" customFormat="1" ht="30">
      <c r="A14" s="894" t="s">
        <v>723</v>
      </c>
      <c r="B14" s="646" t="s">
        <v>497</v>
      </c>
      <c r="C14" s="647">
        <f>'PREV2020 '!S127-'PREV2020 '!R127</f>
        <v>329899.5295</v>
      </c>
      <c r="E14" s="646" t="s">
        <v>527</v>
      </c>
      <c r="F14" s="647">
        <f>'PREV2020 '!AF127</f>
        <v>90706</v>
      </c>
      <c r="H14" s="646" t="s">
        <v>528</v>
      </c>
      <c r="I14" s="647">
        <f>'PREV2020 '!AG127</f>
        <v>28041</v>
      </c>
      <c r="J14" s="649">
        <f t="shared" si="0"/>
        <v>448646.5295</v>
      </c>
      <c r="L14" s="782">
        <f>'PREV2020 '!R127</f>
        <v>812.16000000000008</v>
      </c>
      <c r="M14" s="790"/>
      <c r="N14" s="649">
        <f t="shared" si="1"/>
        <v>449458.68949999998</v>
      </c>
    </row>
    <row r="15" spans="1:14" s="901" customFormat="1" ht="30">
      <c r="A15" s="894" t="s">
        <v>724</v>
      </c>
      <c r="B15" s="646" t="s">
        <v>498</v>
      </c>
      <c r="C15" s="647">
        <f>'PREV2020 '!S142-'PREV2020 '!R142</f>
        <v>144245.06100000002</v>
      </c>
      <c r="E15" s="646" t="s">
        <v>529</v>
      </c>
      <c r="F15" s="647">
        <f>'PREV2020 '!AF142</f>
        <v>39095</v>
      </c>
      <c r="H15" s="646" t="s">
        <v>530</v>
      </c>
      <c r="I15" s="647">
        <f>'PREV2020 '!AG142</f>
        <v>12261</v>
      </c>
      <c r="J15" s="649">
        <f t="shared" si="0"/>
        <v>195601.06100000002</v>
      </c>
      <c r="L15" s="782">
        <f>'PREV2020 '!R142</f>
        <v>1280.04</v>
      </c>
      <c r="M15" s="790"/>
      <c r="N15" s="649">
        <f t="shared" si="1"/>
        <v>196881.10100000002</v>
      </c>
    </row>
    <row r="16" spans="1:14" s="901" customFormat="1" ht="60">
      <c r="A16" s="894" t="s">
        <v>725</v>
      </c>
      <c r="B16" s="646" t="s">
        <v>499</v>
      </c>
      <c r="C16" s="647">
        <f>'PREV2020 '!S159-'PREV2020 '!R159</f>
        <v>186272.20500000002</v>
      </c>
      <c r="E16" s="646" t="s">
        <v>531</v>
      </c>
      <c r="F16" s="647">
        <f>'PREV2020 '!AF159</f>
        <v>50489</v>
      </c>
      <c r="H16" s="554" t="s">
        <v>532</v>
      </c>
      <c r="I16" s="647">
        <f>'PREV2020 '!AG159</f>
        <v>15833</v>
      </c>
      <c r="J16" s="649">
        <f t="shared" si="0"/>
        <v>252594.20500000002</v>
      </c>
      <c r="L16" s="649">
        <f>'PREV2020 '!R159</f>
        <v>1780.6799999999998</v>
      </c>
      <c r="M16" s="902"/>
      <c r="N16" s="649">
        <f t="shared" si="1"/>
        <v>254374.88500000001</v>
      </c>
    </row>
    <row r="17" spans="1:18">
      <c r="A17" s="46"/>
      <c r="B17" s="551" t="s">
        <v>500</v>
      </c>
      <c r="C17" s="587">
        <f>'PREV2020 '!S177-'PREV2020 '!R177</f>
        <v>188369.64199999999</v>
      </c>
      <c r="E17" s="551" t="s">
        <v>533</v>
      </c>
      <c r="F17" s="587">
        <f>'PREV2020 '!AF177</f>
        <v>54422</v>
      </c>
      <c r="H17" s="551" t="s">
        <v>271</v>
      </c>
      <c r="I17" s="588">
        <v>0</v>
      </c>
      <c r="J17" s="550">
        <f t="shared" si="0"/>
        <v>242791.64199999999</v>
      </c>
      <c r="L17" s="550">
        <f>'PREV2020 '!R177</f>
        <v>1436.76</v>
      </c>
      <c r="M17" s="620"/>
      <c r="N17" s="550">
        <f t="shared" si="1"/>
        <v>244228.402</v>
      </c>
    </row>
    <row r="18" spans="1:18">
      <c r="A18" s="903" t="s">
        <v>552</v>
      </c>
      <c r="B18" s="551" t="s">
        <v>501</v>
      </c>
      <c r="C18" s="587">
        <f>'PREV2020 '!S195-'PREV2020 '!R195</f>
        <v>130956.66250000001</v>
      </c>
      <c r="E18" s="551" t="s">
        <v>534</v>
      </c>
      <c r="F18" s="587">
        <f>'PREV2020 '!AF195</f>
        <v>36243</v>
      </c>
      <c r="H18" s="792">
        <v>167.9173726851852</v>
      </c>
      <c r="I18" s="587">
        <f>'PREV2020 '!AG195</f>
        <v>1595</v>
      </c>
      <c r="J18" s="550">
        <f t="shared" si="0"/>
        <v>168794.66250000001</v>
      </c>
      <c r="L18" s="550">
        <f>'PREV2020 '!R195</f>
        <v>1464</v>
      </c>
      <c r="M18" s="620"/>
      <c r="N18" s="550">
        <f t="shared" si="1"/>
        <v>170258.66250000001</v>
      </c>
    </row>
    <row r="19" spans="1:18" ht="30">
      <c r="A19" s="46" t="s">
        <v>726</v>
      </c>
      <c r="B19" s="549" t="s">
        <v>502</v>
      </c>
      <c r="C19" s="587">
        <f>'PREV2020 '!S208</f>
        <v>77789.787500000006</v>
      </c>
      <c r="E19" s="551" t="s">
        <v>535</v>
      </c>
      <c r="F19" s="587">
        <f>'PREV2020 '!AF208</f>
        <v>21069</v>
      </c>
      <c r="H19" s="551" t="s">
        <v>536</v>
      </c>
      <c r="I19" s="587">
        <f>'PREV2020 '!AG208</f>
        <v>6612</v>
      </c>
      <c r="J19" s="550">
        <f t="shared" si="0"/>
        <v>105470.78750000001</v>
      </c>
      <c r="L19" s="1">
        <v>0</v>
      </c>
      <c r="N19" s="550">
        <f t="shared" si="1"/>
        <v>105470.78750000001</v>
      </c>
    </row>
    <row r="20" spans="1:18">
      <c r="A20" s="46"/>
      <c r="C20" s="552"/>
      <c r="F20" s="589"/>
      <c r="I20" s="552"/>
      <c r="L20" s="620"/>
      <c r="M20" s="620"/>
      <c r="N20" s="788"/>
    </row>
    <row r="21" spans="1:18" ht="30">
      <c r="A21" s="46" t="s">
        <v>547</v>
      </c>
      <c r="C21" s="553">
        <f>SUM(C4:C20)</f>
        <v>1969895.8808333336</v>
      </c>
      <c r="D21" s="554"/>
      <c r="E21" s="554"/>
      <c r="F21" s="553">
        <f>SUM(F4:F20)</f>
        <v>541067</v>
      </c>
      <c r="G21" s="554"/>
      <c r="H21" s="554"/>
      <c r="I21" s="553">
        <f>SUM(I4:I20)</f>
        <v>141892</v>
      </c>
      <c r="J21" s="553">
        <f>C21+F21+I21</f>
        <v>2652854.8808333334</v>
      </c>
      <c r="L21" s="630">
        <f>SUM(L7:L20)</f>
        <v>9011.0400000000009</v>
      </c>
      <c r="M21" s="620"/>
      <c r="N21" s="791">
        <f>SUM(N4:N20)</f>
        <v>2661865.9208333334</v>
      </c>
    </row>
    <row r="23" spans="1:18">
      <c r="C23" t="s">
        <v>81</v>
      </c>
      <c r="D23" s="555" t="s">
        <v>86</v>
      </c>
      <c r="J23" s="552"/>
    </row>
    <row r="24" spans="1:18" ht="15.75">
      <c r="A24" s="1052" t="s">
        <v>581</v>
      </c>
      <c r="B24" s="92">
        <f>'PREV2020 '!S219</f>
        <v>147271.18</v>
      </c>
      <c r="C24" s="550">
        <f>F27</f>
        <v>35786.540840000001</v>
      </c>
      <c r="D24" s="550">
        <f>H27</f>
        <v>12518</v>
      </c>
      <c r="E24" s="556">
        <f>132672.26+F27+H27</f>
        <v>180976.80084000001</v>
      </c>
      <c r="L24" s="552"/>
    </row>
    <row r="25" spans="1:18">
      <c r="A25" s="1053"/>
    </row>
    <row r="26" spans="1:18">
      <c r="A26" s="1053"/>
      <c r="B26" t="s">
        <v>537</v>
      </c>
      <c r="C26" t="s">
        <v>335</v>
      </c>
      <c r="D26" t="s">
        <v>538</v>
      </c>
      <c r="E26" t="s">
        <v>539</v>
      </c>
      <c r="F26" t="s">
        <v>92</v>
      </c>
      <c r="H26" t="s">
        <v>86</v>
      </c>
    </row>
    <row r="27" spans="1:18" ht="35.25" customHeight="1">
      <c r="A27" s="1032"/>
      <c r="B27" s="557">
        <f>B24*23.8%</f>
        <v>35050.540840000001</v>
      </c>
      <c r="C27" s="558">
        <v>0</v>
      </c>
      <c r="D27" s="558">
        <f>'PREV2020 '!AD219</f>
        <v>736</v>
      </c>
      <c r="E27" s="558">
        <v>0</v>
      </c>
      <c r="F27" s="558">
        <f>SUM(B27:E27)</f>
        <v>35786.540840000001</v>
      </c>
      <c r="H27" s="558">
        <f>'PREV2020 '!AG219</f>
        <v>12518</v>
      </c>
      <c r="I27" s="552"/>
      <c r="O27" s="559">
        <f>37129.33</f>
        <v>37129.33</v>
      </c>
      <c r="P27" s="1054" t="s">
        <v>540</v>
      </c>
      <c r="Q27" s="1054"/>
      <c r="R27" s="1054"/>
    </row>
    <row r="28" spans="1:18" ht="53.25" customHeight="1">
      <c r="O28" s="559">
        <v>92250.38</v>
      </c>
      <c r="P28" s="1054" t="s">
        <v>541</v>
      </c>
      <c r="Q28" s="1054"/>
      <c r="R28" s="1054"/>
    </row>
    <row r="29" spans="1:18" ht="36" customHeight="1">
      <c r="O29" s="560">
        <f>SUM(O27:O28)</f>
        <v>129379.71</v>
      </c>
      <c r="P29" s="1054" t="s">
        <v>542</v>
      </c>
      <c r="Q29" s="1054"/>
      <c r="R29" s="1054"/>
    </row>
    <row r="30" spans="1:18">
      <c r="O30" s="1059">
        <f>'[2]PREVENTIVO 2019 del 3-10-2018'!S86+'[2]PREVENTIVO 2019 del 3-10-2018'!AA86+'[2]PREVENTIVO 2019 del 3-10-2018'!AB86+'[2]PREVENTIVO 2019 del 3-10-2018'!AD86+'[2]PREVENTIVO 2019 del 3-10-2018'!AG86</f>
        <v>0</v>
      </c>
      <c r="P30" s="1054" t="s">
        <v>543</v>
      </c>
      <c r="Q30" s="1054"/>
      <c r="R30" s="1054"/>
    </row>
    <row r="31" spans="1:18" ht="34.5" customHeight="1">
      <c r="J31" s="1060"/>
      <c r="K31" s="1060"/>
      <c r="L31" s="1061" t="s">
        <v>544</v>
      </c>
      <c r="M31" s="1061"/>
      <c r="N31" s="1061"/>
      <c r="O31" s="1059"/>
      <c r="P31" s="1054"/>
      <c r="Q31" s="1054"/>
      <c r="R31" s="1054"/>
    </row>
    <row r="32" spans="1:18" ht="60.75" customHeight="1">
      <c r="B32" s="988" t="s">
        <v>232</v>
      </c>
      <c r="C32" s="989"/>
      <c r="D32" s="990"/>
      <c r="E32" s="990"/>
      <c r="F32" s="932">
        <f>'PREV2020 '!AD234</f>
        <v>2857442.1008333336</v>
      </c>
      <c r="G32" s="933"/>
      <c r="H32" s="49"/>
      <c r="I32" s="49"/>
      <c r="J32" s="1060"/>
      <c r="K32" s="1060"/>
      <c r="L32" s="1061"/>
      <c r="M32" s="1061"/>
      <c r="N32" s="1061"/>
      <c r="O32" s="561">
        <f>(33144.05+34536.17+34210.63)</f>
        <v>101890.85</v>
      </c>
      <c r="P32" s="1055" t="s">
        <v>545</v>
      </c>
      <c r="Q32" s="1056">
        <f>129379.72-L30-L32-L34</f>
        <v>129379.72</v>
      </c>
      <c r="R32" s="1057"/>
    </row>
    <row r="33" spans="2:18" ht="15.75" customHeight="1">
      <c r="B33" s="988" t="s">
        <v>203</v>
      </c>
      <c r="C33" s="989"/>
      <c r="D33" s="990"/>
      <c r="E33" s="990"/>
      <c r="F33" s="932">
        <v>27000</v>
      </c>
      <c r="G33" s="933"/>
      <c r="H33" s="49"/>
      <c r="I33" s="49"/>
      <c r="J33" s="356"/>
      <c r="K33" s="1062"/>
      <c r="L33" s="1063"/>
      <c r="M33" s="1063"/>
      <c r="N33" s="1064"/>
      <c r="O33" s="1064"/>
    </row>
    <row r="34" spans="2:18" ht="37.5" customHeight="1">
      <c r="B34" s="988" t="s">
        <v>204</v>
      </c>
      <c r="C34" s="989"/>
      <c r="D34" s="990"/>
      <c r="E34" s="990"/>
      <c r="F34" s="932">
        <v>292930</v>
      </c>
      <c r="G34" s="933"/>
      <c r="H34" s="49"/>
      <c r="I34" s="49"/>
      <c r="J34" s="356"/>
      <c r="L34" s="562"/>
      <c r="M34" s="562"/>
      <c r="N34" s="562"/>
      <c r="O34" s="563">
        <f>O29-O30-O32</f>
        <v>27488.86</v>
      </c>
      <c r="P34" s="1054" t="s">
        <v>546</v>
      </c>
      <c r="Q34" s="1054"/>
      <c r="R34" s="1054"/>
    </row>
    <row r="35" spans="2:18" ht="15.75" customHeight="1">
      <c r="B35" s="988" t="s">
        <v>472</v>
      </c>
      <c r="C35" s="989"/>
      <c r="D35" s="990"/>
      <c r="E35" s="990"/>
      <c r="F35" s="934">
        <v>4600</v>
      </c>
      <c r="G35" s="935"/>
      <c r="H35" s="49"/>
      <c r="I35" s="49"/>
      <c r="J35" s="356"/>
      <c r="K35" s="1065"/>
      <c r="L35" s="1065"/>
      <c r="M35" s="1065"/>
      <c r="N35" s="1064"/>
      <c r="O35" s="1064"/>
    </row>
    <row r="36" spans="2:18" ht="165.75" customHeight="1">
      <c r="B36" s="574" t="s">
        <v>556</v>
      </c>
      <c r="C36" s="575"/>
      <c r="D36" s="576"/>
      <c r="E36" s="576"/>
      <c r="F36" s="932">
        <f>10000+2000+100*12</f>
        <v>13200</v>
      </c>
      <c r="G36" s="933"/>
      <c r="H36" s="49"/>
      <c r="I36" s="49"/>
      <c r="J36" s="356"/>
      <c r="K36" s="1066"/>
      <c r="L36" s="1066"/>
      <c r="M36" s="1066"/>
      <c r="N36" s="1066"/>
      <c r="O36" s="1066"/>
    </row>
    <row r="37" spans="2:18" ht="25.5">
      <c r="B37" s="574" t="s">
        <v>572</v>
      </c>
      <c r="C37" s="575"/>
      <c r="D37" s="576"/>
      <c r="E37" s="576"/>
      <c r="F37" s="932" t="e">
        <f>'CALCOLO VAC. E PEREQ 2020'!#REF!</f>
        <v>#REF!</v>
      </c>
      <c r="G37" s="933"/>
      <c r="H37" s="49"/>
      <c r="I37" s="49"/>
      <c r="J37" s="49"/>
      <c r="K37" s="994"/>
      <c r="L37" s="994"/>
      <c r="M37" s="994"/>
      <c r="N37" s="994"/>
      <c r="O37" s="994"/>
    </row>
    <row r="38" spans="2:18" ht="25.5" customHeight="1">
      <c r="B38" s="991" t="s">
        <v>473</v>
      </c>
      <c r="C38" s="991"/>
      <c r="D38" s="990"/>
      <c r="E38" s="990"/>
      <c r="F38" s="938" t="e">
        <f>SUM(F32:F37)</f>
        <v>#REF!</v>
      </c>
      <c r="G38" s="939"/>
      <c r="H38" s="49"/>
      <c r="I38" s="49"/>
      <c r="J38" s="356"/>
      <c r="K38" s="1065"/>
      <c r="L38" s="1065"/>
      <c r="M38" s="1065"/>
      <c r="N38" s="1064"/>
      <c r="O38" s="1064"/>
    </row>
    <row r="39" spans="2:18" ht="48.75" customHeight="1">
      <c r="B39" s="574" t="s">
        <v>222</v>
      </c>
      <c r="C39" s="574"/>
      <c r="D39" s="403"/>
      <c r="E39" s="403"/>
      <c r="F39" s="938" t="e">
        <f>'IMPORT. ARRETR. CCNL 21-05-IP1'!#REF!+'CALCOLO VAC. E PEREQ 2020'!#REF!+'CALCOLO VAC. E PEREQ 2020'!#REF!+'CALCOLO VAC. E PEREQ 2020'!#REF!+'CALCOLO VAC. E PEREQ 2020'!#REF!+'CALCOLO VAC. E PEREQ 2020'!#REF!+'CALCOLO VAC. E PEREQ 2020'!#REF!</f>
        <v>#REF!</v>
      </c>
      <c r="G39" s="939"/>
      <c r="H39" s="49"/>
      <c r="I39" s="49"/>
      <c r="J39" s="356"/>
      <c r="K39" s="1067"/>
      <c r="L39" s="1067"/>
      <c r="M39" s="1067"/>
      <c r="N39" s="1067"/>
      <c r="O39" s="1067"/>
    </row>
    <row r="40" spans="2:18" ht="51">
      <c r="B40" s="574" t="s">
        <v>573</v>
      </c>
      <c r="C40" s="574"/>
      <c r="D40" s="403"/>
      <c r="E40" s="403"/>
      <c r="F40" s="938" t="e">
        <f>F37</f>
        <v>#REF!</v>
      </c>
      <c r="G40" s="939"/>
      <c r="H40" s="49"/>
      <c r="I40" s="49"/>
      <c r="J40" s="356"/>
      <c r="K40" s="565"/>
      <c r="L40" s="565"/>
      <c r="M40" s="565"/>
      <c r="N40" s="566"/>
      <c r="O40" s="566"/>
    </row>
    <row r="41" spans="2:18" ht="15.75">
      <c r="B41" s="402" t="s">
        <v>226</v>
      </c>
      <c r="C41" s="64"/>
      <c r="D41" s="64"/>
      <c r="E41" s="64"/>
      <c r="F41" s="940">
        <f>Y30</f>
        <v>0</v>
      </c>
      <c r="G41" s="941"/>
      <c r="H41" s="49"/>
      <c r="I41" s="49"/>
      <c r="J41" s="356"/>
      <c r="K41" s="1067"/>
      <c r="L41" s="1067"/>
      <c r="M41" s="1067"/>
      <c r="N41" s="1067"/>
      <c r="O41" s="1067"/>
    </row>
    <row r="42" spans="2:18" ht="60.75">
      <c r="B42" s="541" t="s">
        <v>481</v>
      </c>
      <c r="C42" s="64"/>
      <c r="D42" s="64"/>
      <c r="E42" s="64"/>
      <c r="F42" s="936">
        <f>34829.16</f>
        <v>34829.160000000003</v>
      </c>
      <c r="G42" s="937"/>
      <c r="H42" s="146"/>
      <c r="I42" s="146"/>
      <c r="J42" s="146"/>
      <c r="K42" s="1068"/>
      <c r="L42" s="1068"/>
      <c r="M42" s="1068"/>
      <c r="N42" s="1068"/>
      <c r="O42" s="1068"/>
    </row>
    <row r="43" spans="2:18">
      <c r="B43" s="991" t="s">
        <v>554</v>
      </c>
      <c r="C43" s="991"/>
      <c r="D43" s="990"/>
      <c r="E43" s="990"/>
      <c r="F43" s="938" t="e">
        <f>F38-F39-F41-F42-F40</f>
        <v>#REF!</v>
      </c>
      <c r="G43" s="939"/>
      <c r="K43" s="567"/>
      <c r="L43" s="567"/>
      <c r="M43" s="567"/>
      <c r="N43" s="567"/>
      <c r="O43" s="567"/>
    </row>
    <row r="44" spans="2:18">
      <c r="B44" s="991" t="s">
        <v>227</v>
      </c>
      <c r="C44" s="996"/>
      <c r="D44" s="403"/>
      <c r="E44" s="403"/>
      <c r="F44" s="938">
        <f>3036353-38561.69</f>
        <v>2997791.31</v>
      </c>
      <c r="G44" s="939"/>
    </row>
    <row r="45" spans="2:18">
      <c r="B45" s="404"/>
      <c r="C45" s="404"/>
      <c r="D45" s="403"/>
      <c r="E45" s="403"/>
      <c r="F45" s="357"/>
      <c r="G45" s="356"/>
    </row>
    <row r="46" spans="2:18">
      <c r="B46" s="991" t="s">
        <v>205</v>
      </c>
      <c r="C46" s="996"/>
      <c r="D46" s="403"/>
      <c r="E46" s="403"/>
      <c r="F46" s="938" t="e">
        <f>F44-F43</f>
        <v>#REF!</v>
      </c>
      <c r="G46" s="939"/>
    </row>
  </sheetData>
  <mergeCells count="43">
    <mergeCell ref="B38:E38"/>
    <mergeCell ref="F38:G38"/>
    <mergeCell ref="K38:O38"/>
    <mergeCell ref="F39:G39"/>
    <mergeCell ref="K39:O39"/>
    <mergeCell ref="F41:G41"/>
    <mergeCell ref="K41:O41"/>
    <mergeCell ref="K42:O42"/>
    <mergeCell ref="F37:G37"/>
    <mergeCell ref="K37:O37"/>
    <mergeCell ref="F40:G40"/>
    <mergeCell ref="F42:G42"/>
    <mergeCell ref="B35:E35"/>
    <mergeCell ref="F35:G35"/>
    <mergeCell ref="K35:O35"/>
    <mergeCell ref="F36:G36"/>
    <mergeCell ref="K36:O36"/>
    <mergeCell ref="B2:C2"/>
    <mergeCell ref="E2:F2"/>
    <mergeCell ref="H2:I2"/>
    <mergeCell ref="P34:R34"/>
    <mergeCell ref="P29:R29"/>
    <mergeCell ref="O30:O31"/>
    <mergeCell ref="P30:R31"/>
    <mergeCell ref="J31:K32"/>
    <mergeCell ref="L31:N32"/>
    <mergeCell ref="B33:E33"/>
    <mergeCell ref="F33:G33"/>
    <mergeCell ref="K33:O33"/>
    <mergeCell ref="B34:E34"/>
    <mergeCell ref="F34:G34"/>
    <mergeCell ref="A24:A27"/>
    <mergeCell ref="P27:R27"/>
    <mergeCell ref="P28:R28"/>
    <mergeCell ref="B32:E32"/>
    <mergeCell ref="F32:G32"/>
    <mergeCell ref="P32:R32"/>
    <mergeCell ref="B43:E43"/>
    <mergeCell ref="F43:G43"/>
    <mergeCell ref="B44:C44"/>
    <mergeCell ref="F44:G44"/>
    <mergeCell ref="B46:C46"/>
    <mergeCell ref="F46:G46"/>
  </mergeCells>
  <conditionalFormatting sqref="F35">
    <cfRule type="expression" dxfId="0" priority="1" stopIfTrue="1">
      <formula>ISBLANK(F35)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rowBreaks count="1" manualBreakCount="1">
    <brk id="2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32"/>
  <sheetViews>
    <sheetView topLeftCell="A7" workbookViewId="0">
      <selection activeCell="AK31" sqref="AK31:AL31"/>
    </sheetView>
  </sheetViews>
  <sheetFormatPr defaultRowHeight="15"/>
  <cols>
    <col min="1" max="1" width="14.85546875" customWidth="1"/>
    <col min="2" max="2" width="17.5703125" customWidth="1"/>
    <col min="3" max="3" width="9.140625" customWidth="1"/>
    <col min="4" max="4" width="4.42578125" style="702" hidden="1" customWidth="1"/>
    <col min="5" max="5" width="10.42578125" style="9" hidden="1" customWidth="1"/>
    <col min="6" max="6" width="10.28515625" style="9" hidden="1" customWidth="1"/>
    <col min="7" max="7" width="11" style="9" hidden="1" customWidth="1"/>
    <col min="8" max="8" width="12.28515625" style="9" hidden="1" customWidth="1"/>
    <col min="9" max="9" width="9.85546875" style="779" hidden="1" customWidth="1"/>
    <col min="10" max="10" width="10.5703125" style="778" customWidth="1"/>
    <col min="11" max="11" width="5.5703125" style="780" hidden="1" customWidth="1"/>
    <col min="12" max="12" width="5.42578125" style="780" hidden="1" customWidth="1"/>
    <col min="13" max="13" width="6.5703125" style="780" hidden="1" customWidth="1"/>
    <col min="14" max="19" width="7.140625" style="780" hidden="1" customWidth="1"/>
    <col min="20" max="20" width="6.5703125" style="780" hidden="1" customWidth="1"/>
    <col min="21" max="22" width="6" style="780" hidden="1" customWidth="1"/>
    <col min="23" max="23" width="6.7109375" style="780" hidden="1" customWidth="1"/>
    <col min="24" max="24" width="7.140625" style="780" hidden="1" customWidth="1"/>
    <col min="25" max="25" width="8.140625" style="787" hidden="1" customWidth="1"/>
    <col min="26" max="26" width="3.5703125" hidden="1" customWidth="1"/>
    <col min="27" max="27" width="3" customWidth="1"/>
    <col min="28" max="28" width="9.5703125" bestFit="1" customWidth="1"/>
    <col min="29" max="29" width="2.140625" customWidth="1"/>
    <col min="30" max="30" width="9.5703125" bestFit="1" customWidth="1"/>
    <col min="31" max="31" width="5.42578125" customWidth="1"/>
    <col min="32" max="32" width="11.28515625" style="409" customWidth="1"/>
    <col min="33" max="33" width="13.5703125" customWidth="1"/>
    <col min="34" max="34" width="12.85546875" customWidth="1"/>
    <col min="35" max="35" width="12.42578125" customWidth="1"/>
    <col min="36" max="36" width="16.7109375" customWidth="1"/>
    <col min="37" max="37" width="14.5703125" customWidth="1"/>
    <col min="38" max="38" width="10.140625" bestFit="1" customWidth="1"/>
  </cols>
  <sheetData>
    <row r="1" spans="1:39" ht="17.25" customHeight="1">
      <c r="A1" s="1058" t="s">
        <v>659</v>
      </c>
      <c r="B1" s="1058"/>
      <c r="C1" s="582"/>
      <c r="D1" s="692" t="s">
        <v>582</v>
      </c>
      <c r="E1" s="693" t="s">
        <v>583</v>
      </c>
      <c r="F1" s="694" t="s">
        <v>584</v>
      </c>
      <c r="G1" s="695">
        <v>2018</v>
      </c>
      <c r="H1" s="696" t="s">
        <v>585</v>
      </c>
      <c r="I1" s="696" t="s">
        <v>586</v>
      </c>
      <c r="J1" s="696" t="s">
        <v>92</v>
      </c>
      <c r="K1" s="697" t="s">
        <v>587</v>
      </c>
      <c r="L1" s="697" t="s">
        <v>588</v>
      </c>
      <c r="M1" s="697" t="s">
        <v>589</v>
      </c>
      <c r="N1" s="697" t="s">
        <v>590</v>
      </c>
      <c r="O1" s="697" t="s">
        <v>591</v>
      </c>
      <c r="P1" s="697" t="s">
        <v>592</v>
      </c>
      <c r="Q1" s="697" t="s">
        <v>593</v>
      </c>
      <c r="R1" s="697" t="s">
        <v>594</v>
      </c>
      <c r="S1" s="697" t="s">
        <v>595</v>
      </c>
      <c r="T1" s="697" t="s">
        <v>596</v>
      </c>
      <c r="U1" s="697" t="s">
        <v>597</v>
      </c>
      <c r="V1" s="697" t="s">
        <v>598</v>
      </c>
      <c r="W1" s="698" t="s">
        <v>599</v>
      </c>
      <c r="X1" s="699" t="s">
        <v>600</v>
      </c>
      <c r="Y1" s="700" t="s">
        <v>601</v>
      </c>
      <c r="Z1" s="701" t="s">
        <v>602</v>
      </c>
      <c r="AB1" s="549" t="s">
        <v>603</v>
      </c>
      <c r="AD1" s="549" t="s">
        <v>604</v>
      </c>
      <c r="AE1" s="702"/>
      <c r="AF1" s="1075" t="s">
        <v>605</v>
      </c>
      <c r="AG1" s="1075"/>
      <c r="AH1" s="1075"/>
      <c r="AI1" s="1075"/>
      <c r="AJ1" s="1075"/>
      <c r="AK1" s="1075"/>
      <c r="AL1" s="1075"/>
      <c r="AM1" s="1075"/>
    </row>
    <row r="2" spans="1:39" ht="15.75" customHeight="1">
      <c r="A2" s="582"/>
      <c r="B2" s="628"/>
      <c r="C2" s="628"/>
      <c r="D2" s="648"/>
      <c r="E2" s="703"/>
      <c r="F2" s="704"/>
      <c r="G2" s="703"/>
      <c r="H2" s="705"/>
      <c r="I2" s="706"/>
      <c r="J2" s="705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700"/>
      <c r="Z2" s="707"/>
      <c r="AC2" s="708"/>
      <c r="AD2" s="708"/>
      <c r="AE2" s="708"/>
      <c r="AF2" s="709"/>
      <c r="AG2" s="709" t="s">
        <v>505</v>
      </c>
      <c r="AH2" s="709" t="s">
        <v>506</v>
      </c>
      <c r="AJ2" s="581" t="s">
        <v>505</v>
      </c>
      <c r="AK2" s="710" t="s">
        <v>537</v>
      </c>
      <c r="AL2" s="710" t="s">
        <v>505</v>
      </c>
      <c r="AM2" s="581" t="s">
        <v>86</v>
      </c>
    </row>
    <row r="3" spans="1:39">
      <c r="A3" s="1076" t="s">
        <v>606</v>
      </c>
      <c r="B3" s="711" t="s">
        <v>607</v>
      </c>
      <c r="C3" s="1077" t="s">
        <v>608</v>
      </c>
      <c r="D3" s="712"/>
      <c r="E3" s="713">
        <v>5448.6</v>
      </c>
      <c r="F3" s="714">
        <f>E3-G3</f>
        <v>1948.6000000000004</v>
      </c>
      <c r="G3" s="1079">
        <v>3500</v>
      </c>
      <c r="H3" s="715">
        <v>550</v>
      </c>
      <c r="I3" s="715">
        <v>550</v>
      </c>
      <c r="J3" s="715">
        <f>H3+I3</f>
        <v>1100</v>
      </c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>
        <f>K3+L3+M3+N3+O3+P3+Q3+R3+S3</f>
        <v>0</v>
      </c>
      <c r="X3" s="716">
        <f>K3+L3+M3+N3+O3+P3+Q3+R3+S3+T3</f>
        <v>0</v>
      </c>
      <c r="Y3" s="717">
        <f>J3-X3</f>
        <v>1100</v>
      </c>
      <c r="Z3" s="718">
        <f>G3-J3</f>
        <v>2400</v>
      </c>
      <c r="AA3" s="708"/>
      <c r="AB3" s="719">
        <f>J3*23.8/100</f>
        <v>261.8</v>
      </c>
      <c r="AC3" s="708"/>
      <c r="AD3" s="719">
        <f>J3*8.5/100</f>
        <v>93.5</v>
      </c>
      <c r="AE3" s="708"/>
      <c r="AF3" s="588" t="s">
        <v>609</v>
      </c>
      <c r="AG3" s="588" t="s">
        <v>610</v>
      </c>
      <c r="AH3" s="587">
        <v>15750</v>
      </c>
      <c r="AJ3" s="720" t="s">
        <v>611</v>
      </c>
      <c r="AK3" s="721">
        <f>AH3*23.8/100</f>
        <v>3748.5</v>
      </c>
      <c r="AL3" s="720" t="s">
        <v>612</v>
      </c>
      <c r="AM3" s="721">
        <f>AH3*8.5/100</f>
        <v>1338.75</v>
      </c>
    </row>
    <row r="4" spans="1:39">
      <c r="A4" s="1076"/>
      <c r="B4" s="711" t="s">
        <v>613</v>
      </c>
      <c r="C4" s="1078"/>
      <c r="D4" s="712"/>
      <c r="E4" s="713"/>
      <c r="F4" s="714"/>
      <c r="G4" s="1080"/>
      <c r="H4" s="715">
        <v>550</v>
      </c>
      <c r="I4" s="715">
        <v>550</v>
      </c>
      <c r="J4" s="715">
        <f>H4+I4</f>
        <v>1100</v>
      </c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7"/>
      <c r="Z4" s="718"/>
      <c r="AA4" s="708"/>
      <c r="AB4" s="719">
        <f t="shared" ref="AB4:AB7" si="0">J4*23.8/100</f>
        <v>261.8</v>
      </c>
      <c r="AC4" s="708"/>
      <c r="AD4" s="719">
        <f t="shared" ref="AD4:AD7" si="1">J4*8.5/100</f>
        <v>93.5</v>
      </c>
      <c r="AE4" s="708"/>
      <c r="AF4" s="588" t="s">
        <v>614</v>
      </c>
      <c r="AG4" s="588" t="s">
        <v>615</v>
      </c>
      <c r="AH4" s="587">
        <v>8670</v>
      </c>
      <c r="AJ4" s="720" t="s">
        <v>616</v>
      </c>
      <c r="AK4" s="721">
        <f>AH4*23.8/100</f>
        <v>2063.46</v>
      </c>
      <c r="AL4" s="720" t="s">
        <v>617</v>
      </c>
      <c r="AM4" s="720" t="s">
        <v>617</v>
      </c>
    </row>
    <row r="5" spans="1:39">
      <c r="A5" s="1076"/>
      <c r="B5" s="711" t="s">
        <v>618</v>
      </c>
      <c r="C5" s="1036"/>
      <c r="D5" s="712"/>
      <c r="E5" s="713"/>
      <c r="F5" s="714"/>
      <c r="G5" s="1081"/>
      <c r="H5" s="715">
        <v>650</v>
      </c>
      <c r="I5" s="715">
        <v>650</v>
      </c>
      <c r="J5" s="715">
        <f>H5+I5</f>
        <v>1300</v>
      </c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7"/>
      <c r="Z5" s="718"/>
      <c r="AA5" s="708"/>
      <c r="AB5" s="719">
        <f t="shared" si="0"/>
        <v>309.39999999999998</v>
      </c>
      <c r="AC5" s="708"/>
      <c r="AD5" s="719">
        <f t="shared" si="1"/>
        <v>110.5</v>
      </c>
      <c r="AE5" s="708"/>
      <c r="AF5" s="588" t="s">
        <v>619</v>
      </c>
      <c r="AG5" s="588" t="s">
        <v>620</v>
      </c>
      <c r="AH5" s="587">
        <v>10130</v>
      </c>
      <c r="AJ5" s="720" t="s">
        <v>621</v>
      </c>
      <c r="AK5" s="721">
        <f>AH5*23.8/100</f>
        <v>2410.94</v>
      </c>
      <c r="AL5" s="720" t="s">
        <v>617</v>
      </c>
      <c r="AM5" s="720" t="s">
        <v>617</v>
      </c>
    </row>
    <row r="6" spans="1:39" s="708" customFormat="1">
      <c r="A6" s="1076"/>
      <c r="B6" s="722" t="s">
        <v>622</v>
      </c>
      <c r="C6" s="723" t="s">
        <v>623</v>
      </c>
      <c r="D6" s="724"/>
      <c r="E6" s="725">
        <v>925.85</v>
      </c>
      <c r="F6" s="726">
        <f>E6-G6</f>
        <v>121.85000000000002</v>
      </c>
      <c r="G6" s="725">
        <v>804</v>
      </c>
      <c r="H6" s="715">
        <v>402</v>
      </c>
      <c r="I6" s="715">
        <v>402</v>
      </c>
      <c r="J6" s="715">
        <f>H6+I6</f>
        <v>804</v>
      </c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>
        <f t="shared" ref="W6:W7" si="2">K6+L6+M6+N6+O6+P6+Q6+R6+S6</f>
        <v>0</v>
      </c>
      <c r="X6" s="727">
        <f t="shared" ref="X6:X7" si="3">K6+L6+M6+N6+O6+P6+Q6+R6+S6+T6</f>
        <v>0</v>
      </c>
      <c r="Y6" s="728">
        <f t="shared" ref="Y6:Y7" si="4">J6-X6</f>
        <v>804</v>
      </c>
      <c r="Z6" s="719">
        <f>G6-J6</f>
        <v>0</v>
      </c>
      <c r="AB6" s="719">
        <f t="shared" si="0"/>
        <v>191.352</v>
      </c>
      <c r="AD6" s="719">
        <f t="shared" si="1"/>
        <v>68.34</v>
      </c>
      <c r="AI6"/>
    </row>
    <row r="7" spans="1:39">
      <c r="A7" s="1076"/>
      <c r="B7" s="711" t="s">
        <v>624</v>
      </c>
      <c r="C7" s="629" t="s">
        <v>625</v>
      </c>
      <c r="D7" s="712"/>
      <c r="E7" s="713">
        <v>1303.0999999999999</v>
      </c>
      <c r="F7" s="714">
        <f>E7-G7</f>
        <v>603.09999999999991</v>
      </c>
      <c r="G7" s="725">
        <v>700</v>
      </c>
      <c r="H7" s="715">
        <v>350</v>
      </c>
      <c r="I7" s="715">
        <v>350</v>
      </c>
      <c r="J7" s="715">
        <f>H7+I7</f>
        <v>700</v>
      </c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>
        <f t="shared" si="2"/>
        <v>0</v>
      </c>
      <c r="X7" s="716">
        <f t="shared" si="3"/>
        <v>0</v>
      </c>
      <c r="Y7" s="717">
        <f t="shared" si="4"/>
        <v>700</v>
      </c>
      <c r="Z7" s="718">
        <f>G7-J7</f>
        <v>0</v>
      </c>
      <c r="AA7" s="708"/>
      <c r="AB7" s="719">
        <f t="shared" si="0"/>
        <v>166.6</v>
      </c>
      <c r="AC7" s="708"/>
      <c r="AD7" s="719">
        <f t="shared" si="1"/>
        <v>59.5</v>
      </c>
      <c r="AE7" s="708"/>
      <c r="AF7" s="1075" t="s">
        <v>626</v>
      </c>
      <c r="AG7" s="1075"/>
      <c r="AH7" s="1075"/>
      <c r="AI7" s="1075"/>
      <c r="AJ7" s="1075"/>
      <c r="AK7" s="1075"/>
      <c r="AL7" s="1075"/>
      <c r="AM7" s="1075"/>
    </row>
    <row r="8" spans="1:39" s="702" customFormat="1">
      <c r="A8" s="729"/>
      <c r="B8" s="730"/>
      <c r="C8" s="731"/>
      <c r="D8" s="731"/>
      <c r="E8" s="732"/>
      <c r="F8" s="733"/>
      <c r="G8" s="734">
        <f>SUM(G3:G7)</f>
        <v>5004</v>
      </c>
      <c r="H8" s="735">
        <f>SUM(H3:H7)</f>
        <v>2502</v>
      </c>
      <c r="I8" s="735">
        <f>SUM(I3:I7)</f>
        <v>2502</v>
      </c>
      <c r="J8" s="735">
        <f>SUM(J3:J7)</f>
        <v>5004</v>
      </c>
      <c r="K8" s="736"/>
      <c r="L8" s="736"/>
      <c r="M8" s="736"/>
      <c r="N8" s="736"/>
      <c r="O8" s="736"/>
      <c r="P8" s="736"/>
      <c r="Q8" s="736"/>
      <c r="R8" s="736"/>
      <c r="S8" s="736"/>
      <c r="T8" s="736"/>
      <c r="U8" s="736"/>
      <c r="V8" s="736"/>
      <c r="W8" s="737"/>
      <c r="X8" s="718">
        <f t="shared" ref="X8:Y8" si="5">SUM(X3:X7)</f>
        <v>0</v>
      </c>
      <c r="Y8" s="738">
        <f t="shared" si="5"/>
        <v>2604</v>
      </c>
      <c r="Z8" s="739">
        <f>SUM(Z3:Z7)</f>
        <v>2400</v>
      </c>
      <c r="AA8" s="740"/>
      <c r="AB8" s="735">
        <f>SUM(AB3:AB7)</f>
        <v>1190.952</v>
      </c>
      <c r="AC8" s="741"/>
      <c r="AD8" s="742">
        <f>SUM(AD3:AD7)</f>
        <v>425.34000000000003</v>
      </c>
      <c r="AE8" s="743"/>
      <c r="AF8" s="709"/>
      <c r="AG8" s="709" t="s">
        <v>505</v>
      </c>
      <c r="AH8" s="709" t="s">
        <v>506</v>
      </c>
      <c r="AI8"/>
      <c r="AJ8" s="744" t="s">
        <v>505</v>
      </c>
      <c r="AK8" s="720" t="s">
        <v>537</v>
      </c>
      <c r="AL8" s="720" t="s">
        <v>505</v>
      </c>
      <c r="AM8" s="744" t="s">
        <v>86</v>
      </c>
    </row>
    <row r="9" spans="1:39" s="702" customFormat="1">
      <c r="A9" s="729"/>
      <c r="B9" s="730"/>
      <c r="C9" s="731"/>
      <c r="D9" s="731"/>
      <c r="E9" s="732"/>
      <c r="F9" s="733"/>
      <c r="G9" s="732"/>
      <c r="H9" s="745"/>
      <c r="I9" s="745"/>
      <c r="J9" s="745"/>
      <c r="K9" s="746"/>
      <c r="L9" s="736"/>
      <c r="M9" s="736"/>
      <c r="N9" s="736"/>
      <c r="O9" s="736"/>
      <c r="P9" s="736"/>
      <c r="Q9" s="736"/>
      <c r="R9" s="736"/>
      <c r="S9" s="736"/>
      <c r="T9" s="736"/>
      <c r="U9" s="736"/>
      <c r="V9" s="736"/>
      <c r="W9" s="737"/>
      <c r="X9" s="747"/>
      <c r="Y9" s="748"/>
      <c r="Z9" s="745"/>
      <c r="AA9" s="743"/>
      <c r="AB9" s="749"/>
      <c r="AC9" s="741"/>
      <c r="AD9" s="743"/>
      <c r="AE9" s="743"/>
      <c r="AF9" s="588" t="s">
        <v>609</v>
      </c>
      <c r="AG9" s="588" t="s">
        <v>627</v>
      </c>
      <c r="AH9" s="587">
        <v>9150</v>
      </c>
      <c r="AI9"/>
      <c r="AJ9" s="720" t="s">
        <v>628</v>
      </c>
      <c r="AK9" s="721">
        <f>AH9*23.8/100</f>
        <v>2177.6999999999998</v>
      </c>
      <c r="AL9" s="720" t="s">
        <v>612</v>
      </c>
      <c r="AM9" s="720">
        <f>AH9*8.5/100</f>
        <v>777.75</v>
      </c>
    </row>
    <row r="10" spans="1:39" s="702" customFormat="1" hidden="1">
      <c r="A10" s="750" t="s">
        <v>629</v>
      </c>
      <c r="B10" s="751" t="s">
        <v>630</v>
      </c>
      <c r="C10" s="752" t="s">
        <v>631</v>
      </c>
      <c r="D10" s="549"/>
      <c r="E10" s="753">
        <v>150</v>
      </c>
      <c r="F10" s="714">
        <f>E10-G10</f>
        <v>150</v>
      </c>
      <c r="G10" s="754">
        <v>0</v>
      </c>
      <c r="H10" s="735"/>
      <c r="I10" s="735"/>
      <c r="J10" s="73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16"/>
      <c r="X10" s="756"/>
      <c r="Y10" s="717"/>
      <c r="Z10" s="718">
        <f>G10-J10</f>
        <v>0</v>
      </c>
      <c r="AA10" s="743"/>
      <c r="AB10" s="749">
        <f t="shared" ref="AB10:AB11" si="6">SUM(AB5:AB9)</f>
        <v>1858.3040000000001</v>
      </c>
      <c r="AC10" s="741"/>
      <c r="AD10" s="743"/>
      <c r="AE10" s="743"/>
      <c r="AF10" s="757"/>
      <c r="AJ10" s="720" t="s">
        <v>661</v>
      </c>
      <c r="AK10" s="721">
        <f t="shared" ref="AK10:AK12" si="7">AH10*23.8/100</f>
        <v>0</v>
      </c>
      <c r="AL10" s="720" t="s">
        <v>663</v>
      </c>
      <c r="AM10" s="720">
        <f t="shared" ref="AM10:AM12" si="8">AH10*8.5/100</f>
        <v>0</v>
      </c>
    </row>
    <row r="11" spans="1:39" s="702" customFormat="1" hidden="1">
      <c r="A11" s="758"/>
      <c r="B11" s="759"/>
      <c r="C11" s="760"/>
      <c r="D11" s="731"/>
      <c r="E11" s="732"/>
      <c r="F11" s="733"/>
      <c r="G11" s="734">
        <f>SUM(G10)</f>
        <v>0</v>
      </c>
      <c r="H11" s="735"/>
      <c r="I11" s="735"/>
      <c r="J11" s="735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7"/>
      <c r="X11" s="737"/>
      <c r="Y11" s="717"/>
      <c r="Z11" s="735">
        <f>SUM(Z10)</f>
        <v>0</v>
      </c>
      <c r="AA11" s="743"/>
      <c r="AB11" s="749">
        <f t="shared" si="6"/>
        <v>3407.2080000000001</v>
      </c>
      <c r="AC11" s="741"/>
      <c r="AD11" s="743"/>
      <c r="AE11" s="743"/>
      <c r="AF11" s="757"/>
      <c r="AJ11" s="720" t="s">
        <v>662</v>
      </c>
      <c r="AK11" s="721">
        <f t="shared" si="7"/>
        <v>0</v>
      </c>
      <c r="AL11" s="720" t="s">
        <v>664</v>
      </c>
      <c r="AM11" s="720">
        <f t="shared" si="8"/>
        <v>0</v>
      </c>
    </row>
    <row r="12" spans="1:39">
      <c r="A12" s="1" t="s">
        <v>632</v>
      </c>
      <c r="B12" s="711" t="s">
        <v>633</v>
      </c>
      <c r="C12" s="629" t="s">
        <v>634</v>
      </c>
      <c r="D12" s="712"/>
      <c r="E12" s="713">
        <v>8628.11</v>
      </c>
      <c r="F12" s="714">
        <f>E12-G12</f>
        <v>1509.1100000000006</v>
      </c>
      <c r="G12" s="761">
        <v>7119</v>
      </c>
      <c r="H12" s="715">
        <v>3559.5</v>
      </c>
      <c r="I12" s="735">
        <v>3559.5</v>
      </c>
      <c r="J12" s="735">
        <f>H12+I12</f>
        <v>7119</v>
      </c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6">
        <f>K12+L12+M12+N12+O12+P12+Q12+R12+S12</f>
        <v>0</v>
      </c>
      <c r="X12" s="716">
        <f>K12+L12+M12+N12+O12+P12+Q12+R12+S12+T12</f>
        <v>0</v>
      </c>
      <c r="Y12" s="717">
        <f t="shared" ref="Y12" si="9">J12-X12</f>
        <v>7119</v>
      </c>
      <c r="Z12" s="718">
        <f>G12-J12</f>
        <v>0</v>
      </c>
      <c r="AA12" s="708"/>
      <c r="AB12" s="735">
        <f>J12*23.8/100</f>
        <v>1694.3220000000001</v>
      </c>
      <c r="AC12" s="762"/>
      <c r="AD12" s="742">
        <f>J12*8.5/100</f>
        <v>605.11500000000001</v>
      </c>
      <c r="AE12" s="708"/>
      <c r="AF12" s="588" t="s">
        <v>660</v>
      </c>
      <c r="AG12" s="588" t="s">
        <v>670</v>
      </c>
      <c r="AH12" s="587">
        <v>277</v>
      </c>
      <c r="AJ12" s="720" t="s">
        <v>621</v>
      </c>
      <c r="AK12" s="721">
        <f t="shared" si="7"/>
        <v>65.926000000000002</v>
      </c>
      <c r="AL12" s="720" t="s">
        <v>671</v>
      </c>
      <c r="AM12" s="720">
        <f t="shared" si="8"/>
        <v>23.545000000000002</v>
      </c>
    </row>
    <row r="13" spans="1:39" s="702" customFormat="1">
      <c r="A13" s="731"/>
      <c r="B13" s="730"/>
      <c r="C13" s="731"/>
      <c r="D13" s="731"/>
      <c r="E13" s="732"/>
      <c r="F13" s="733"/>
      <c r="G13" s="732"/>
      <c r="H13" s="745"/>
      <c r="I13" s="745"/>
      <c r="J13" s="745"/>
      <c r="K13" s="74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7"/>
      <c r="X13" s="737"/>
      <c r="Y13" s="763"/>
      <c r="Z13" s="745"/>
      <c r="AA13" s="743"/>
      <c r="AB13" s="749"/>
      <c r="AC13" s="743"/>
      <c r="AD13" s="740"/>
      <c r="AE13" s="743"/>
      <c r="AF13" s="757"/>
    </row>
    <row r="14" spans="1:39" s="708" customFormat="1">
      <c r="A14" s="764" t="s">
        <v>635</v>
      </c>
      <c r="B14" s="722" t="s">
        <v>636</v>
      </c>
      <c r="C14" s="723" t="s">
        <v>637</v>
      </c>
      <c r="D14" s="724"/>
      <c r="E14" s="725">
        <v>2892.81</v>
      </c>
      <c r="F14" s="726">
        <f>E14-G14</f>
        <v>1202.81</v>
      </c>
      <c r="G14" s="765">
        <v>1690</v>
      </c>
      <c r="H14" s="715">
        <v>1120</v>
      </c>
      <c r="I14" s="735">
        <v>570</v>
      </c>
      <c r="J14" s="735">
        <f>H14+I14</f>
        <v>1690</v>
      </c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>
        <f t="shared" ref="W14" si="10">K14+L14+M14+N14+O14+P14+Q14+R14+S14</f>
        <v>0</v>
      </c>
      <c r="X14" s="727">
        <f t="shared" ref="X14" si="11">K14+L14+M14+N14+O14+P14+Q14+R14+S14+T14</f>
        <v>0</v>
      </c>
      <c r="Y14" s="728">
        <f t="shared" ref="Y14" si="12">J14-X14</f>
        <v>1690</v>
      </c>
      <c r="Z14" s="719">
        <f>G14-J14</f>
        <v>0</v>
      </c>
      <c r="AB14" s="735">
        <f t="shared" ref="AB14:AB22" si="13">J14*23.8/100</f>
        <v>402.22</v>
      </c>
      <c r="AD14" s="742">
        <f t="shared" ref="AD14:AD22" si="14">J14*8.5/100</f>
        <v>143.65</v>
      </c>
      <c r="AF14" s="757"/>
    </row>
    <row r="15" spans="1:39" s="702" customFormat="1">
      <c r="A15" s="760"/>
      <c r="B15" s="730"/>
      <c r="C15" s="731"/>
      <c r="D15" s="731"/>
      <c r="E15" s="732"/>
      <c r="F15" s="733"/>
      <c r="G15" s="732"/>
      <c r="H15" s="745"/>
      <c r="I15" s="745"/>
      <c r="J15" s="745"/>
      <c r="K15" s="74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7"/>
      <c r="X15" s="737"/>
      <c r="Y15" s="763"/>
      <c r="Z15" s="745"/>
      <c r="AA15" s="743"/>
      <c r="AB15" s="749"/>
      <c r="AC15" s="743"/>
      <c r="AD15" s="740"/>
      <c r="AE15" s="743"/>
      <c r="AF15" s="757"/>
    </row>
    <row r="16" spans="1:39" s="708" customFormat="1">
      <c r="A16" s="764" t="s">
        <v>638</v>
      </c>
      <c r="B16" s="722" t="s">
        <v>639</v>
      </c>
      <c r="C16" s="723" t="s">
        <v>640</v>
      </c>
      <c r="D16" s="724"/>
      <c r="E16" s="725">
        <v>1718.19</v>
      </c>
      <c r="F16" s="726">
        <f>E16-G16</f>
        <v>518.19000000000005</v>
      </c>
      <c r="G16" s="761">
        <v>1200</v>
      </c>
      <c r="H16" s="715">
        <v>450</v>
      </c>
      <c r="I16" s="735">
        <v>750</v>
      </c>
      <c r="J16" s="735">
        <f>H16+I16</f>
        <v>1200</v>
      </c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>
        <f t="shared" ref="W16" si="15">K16+L16+M16+N16+O16+P16+Q16+R16+S16</f>
        <v>0</v>
      </c>
      <c r="X16" s="727">
        <f t="shared" ref="X16" si="16">K16+L16+M16+N16+O16+P16+Q16+R16+S16+T16</f>
        <v>0</v>
      </c>
      <c r="Y16" s="728">
        <f t="shared" ref="Y16" si="17">J16-X16</f>
        <v>1200</v>
      </c>
      <c r="Z16" s="719">
        <f>G16-J16</f>
        <v>0</v>
      </c>
      <c r="AB16" s="735">
        <f t="shared" si="13"/>
        <v>285.60000000000002</v>
      </c>
      <c r="AD16" s="742">
        <f t="shared" si="14"/>
        <v>102</v>
      </c>
      <c r="AF16" s="757"/>
      <c r="AG16" s="915">
        <f>AF27+AG27</f>
        <v>127520.18</v>
      </c>
    </row>
    <row r="17" spans="1:39" s="702" customFormat="1">
      <c r="A17" s="760"/>
      <c r="B17" s="730"/>
      <c r="C17" s="731"/>
      <c r="D17" s="731"/>
      <c r="E17" s="732"/>
      <c r="F17" s="733"/>
      <c r="G17" s="732"/>
      <c r="H17" s="745"/>
      <c r="I17" s="745"/>
      <c r="J17" s="745"/>
      <c r="K17" s="74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737"/>
      <c r="X17" s="747"/>
      <c r="Y17" s="748"/>
      <c r="Z17" s="745"/>
      <c r="AA17" s="743"/>
      <c r="AB17" s="749"/>
      <c r="AC17" s="743"/>
      <c r="AD17" s="740"/>
      <c r="AE17" s="743"/>
      <c r="AF17" s="757"/>
    </row>
    <row r="18" spans="1:39">
      <c r="A18" s="1" t="s">
        <v>606</v>
      </c>
      <c r="B18" s="711" t="s">
        <v>641</v>
      </c>
      <c r="C18" s="629" t="s">
        <v>642</v>
      </c>
      <c r="D18" s="712"/>
      <c r="E18" s="713">
        <v>790</v>
      </c>
      <c r="F18" s="714">
        <v>0</v>
      </c>
      <c r="G18" s="761">
        <f>E18-F18</f>
        <v>790</v>
      </c>
      <c r="H18" s="715">
        <v>395</v>
      </c>
      <c r="I18" s="735">
        <v>395</v>
      </c>
      <c r="J18" s="735">
        <f>H18+I18</f>
        <v>790</v>
      </c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>
        <f t="shared" ref="W18" si="18">K18+L18+M18+N18+O18+P18+Q18+R18+S18</f>
        <v>0</v>
      </c>
      <c r="X18" s="716">
        <f t="shared" ref="X18" si="19">K18+L18+M18+N18+O18+P18+Q18+R18+S18+T18</f>
        <v>0</v>
      </c>
      <c r="Y18" s="717">
        <f t="shared" ref="Y18" si="20">J18-X18</f>
        <v>790</v>
      </c>
      <c r="Z18" s="718">
        <f>G18-J18</f>
        <v>0</v>
      </c>
      <c r="AA18" s="708"/>
      <c r="AB18" s="735">
        <f t="shared" si="13"/>
        <v>188.02</v>
      </c>
      <c r="AC18" s="741"/>
      <c r="AD18" s="742">
        <f t="shared" si="14"/>
        <v>67.150000000000006</v>
      </c>
      <c r="AE18" s="708"/>
      <c r="AF18" s="757"/>
      <c r="AK18" s="28"/>
    </row>
    <row r="19" spans="1:39" s="702" customFormat="1">
      <c r="A19" s="760"/>
      <c r="B19" s="730"/>
      <c r="C19" s="731"/>
      <c r="D19" s="731"/>
      <c r="E19" s="732"/>
      <c r="F19" s="733"/>
      <c r="G19" s="732"/>
      <c r="H19" s="745"/>
      <c r="I19" s="766"/>
      <c r="J19" s="745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7"/>
      <c r="Y19" s="763"/>
      <c r="Z19" s="767"/>
      <c r="AA19" s="743"/>
      <c r="AB19" s="749"/>
      <c r="AC19" s="743"/>
      <c r="AD19" s="740"/>
      <c r="AE19" s="743"/>
      <c r="AF19" s="757"/>
      <c r="AG19" s="1083" t="s">
        <v>643</v>
      </c>
      <c r="AH19" s="1083"/>
      <c r="AI19" s="1083"/>
      <c r="AJ19" s="1083"/>
      <c r="AK19" s="1083"/>
      <c r="AL19" s="795"/>
      <c r="AM19" s="795"/>
    </row>
    <row r="20" spans="1:39">
      <c r="A20" s="1069" t="s">
        <v>644</v>
      </c>
      <c r="B20" s="711" t="s">
        <v>645</v>
      </c>
      <c r="C20" s="629" t="s">
        <v>646</v>
      </c>
      <c r="D20" s="712"/>
      <c r="E20" s="713">
        <v>825</v>
      </c>
      <c r="F20" s="714">
        <f>E20-G20</f>
        <v>0</v>
      </c>
      <c r="G20" s="725">
        <v>825</v>
      </c>
      <c r="H20" s="715">
        <v>412.5</v>
      </c>
      <c r="I20" s="715">
        <v>412.5</v>
      </c>
      <c r="J20" s="768">
        <f>H20+I20</f>
        <v>825</v>
      </c>
      <c r="K20" s="769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>
        <f t="shared" ref="W20:W22" si="21">K20+L20+M20+N20+O20+P20+Q20+R20+S20</f>
        <v>0</v>
      </c>
      <c r="X20" s="716">
        <f t="shared" ref="X20:X22" si="22">K20+L20+M20+N20+O20+P20+Q20+R20+S20+T20</f>
        <v>0</v>
      </c>
      <c r="Y20" s="717">
        <f t="shared" ref="Y20:Y22" si="23">J20-X20</f>
        <v>825</v>
      </c>
      <c r="Z20" s="718">
        <f>G20-J20</f>
        <v>0</v>
      </c>
      <c r="AA20" s="708"/>
      <c r="AB20" s="753">
        <f t="shared" si="13"/>
        <v>196.35</v>
      </c>
      <c r="AC20" s="708"/>
      <c r="AD20" s="770">
        <f t="shared" si="14"/>
        <v>70.125</v>
      </c>
      <c r="AE20" s="708"/>
      <c r="AF20"/>
      <c r="AG20" s="1082" t="s">
        <v>81</v>
      </c>
      <c r="AH20" s="1082"/>
      <c r="AI20" s="3"/>
      <c r="AJ20" s="3"/>
      <c r="AK20" s="3"/>
      <c r="AL20" s="3"/>
      <c r="AM20" s="3"/>
    </row>
    <row r="21" spans="1:39" ht="30">
      <c r="A21" s="1070"/>
      <c r="B21" s="711" t="s">
        <v>647</v>
      </c>
      <c r="C21" s="629" t="s">
        <v>648</v>
      </c>
      <c r="D21" s="712"/>
      <c r="E21" s="713">
        <v>908.07</v>
      </c>
      <c r="F21" s="714">
        <f>E21-G21</f>
        <v>208.07000000000005</v>
      </c>
      <c r="G21" s="725">
        <v>700</v>
      </c>
      <c r="H21" s="715">
        <v>350</v>
      </c>
      <c r="I21" s="715">
        <v>350</v>
      </c>
      <c r="J21" s="715">
        <f>H21+I21</f>
        <v>700</v>
      </c>
      <c r="K21" s="769"/>
      <c r="L21" s="716"/>
      <c r="M21" s="716"/>
      <c r="N21" s="716"/>
      <c r="O21" s="716"/>
      <c r="P21" s="716"/>
      <c r="Q21" s="716"/>
      <c r="R21" s="716"/>
      <c r="S21" s="716"/>
      <c r="T21" s="716"/>
      <c r="U21" s="716"/>
      <c r="V21" s="716"/>
      <c r="W21" s="716">
        <f t="shared" si="21"/>
        <v>0</v>
      </c>
      <c r="X21" s="716">
        <f t="shared" si="22"/>
        <v>0</v>
      </c>
      <c r="Y21" s="717">
        <f t="shared" si="23"/>
        <v>700</v>
      </c>
      <c r="Z21" s="718">
        <f>G21-J21</f>
        <v>0</v>
      </c>
      <c r="AA21" s="708"/>
      <c r="AB21" s="753">
        <f t="shared" si="13"/>
        <v>166.6</v>
      </c>
      <c r="AC21" s="708"/>
      <c r="AD21" s="770">
        <f t="shared" si="14"/>
        <v>59.5</v>
      </c>
      <c r="AE21" s="708"/>
      <c r="AF21" s="1072">
        <f>AI27</f>
        <v>87093.18</v>
      </c>
      <c r="AG21" s="802" t="s">
        <v>538</v>
      </c>
      <c r="AH21" s="802" t="s">
        <v>537</v>
      </c>
      <c r="AI21" s="803" t="s">
        <v>86</v>
      </c>
      <c r="AJ21" s="406" t="s">
        <v>668</v>
      </c>
      <c r="AK21" s="804" t="s">
        <v>669</v>
      </c>
      <c r="AL21" s="3"/>
      <c r="AM21" s="3"/>
    </row>
    <row r="22" spans="1:39">
      <c r="A22" s="1071"/>
      <c r="B22" s="711" t="s">
        <v>649</v>
      </c>
      <c r="C22" s="629" t="s">
        <v>650</v>
      </c>
      <c r="D22" s="712"/>
      <c r="E22" s="713">
        <v>908.25</v>
      </c>
      <c r="F22" s="714">
        <f>E22-G22</f>
        <v>185.25</v>
      </c>
      <c r="G22" s="725">
        <v>723</v>
      </c>
      <c r="H22" s="715">
        <v>361.5</v>
      </c>
      <c r="I22" s="715">
        <v>361.5</v>
      </c>
      <c r="J22" s="715">
        <f>H22+I22</f>
        <v>723</v>
      </c>
      <c r="K22" s="769"/>
      <c r="L22" s="716"/>
      <c r="M22" s="716"/>
      <c r="N22" s="716"/>
      <c r="O22" s="716"/>
      <c r="P22" s="716"/>
      <c r="Q22" s="716"/>
      <c r="R22" s="716"/>
      <c r="S22" s="716"/>
      <c r="T22" s="716"/>
      <c r="U22" s="716"/>
      <c r="V22" s="716"/>
      <c r="W22" s="716">
        <f t="shared" si="21"/>
        <v>0</v>
      </c>
      <c r="X22" s="716">
        <f t="shared" si="22"/>
        <v>0</v>
      </c>
      <c r="Y22" s="717">
        <f t="shared" si="23"/>
        <v>723</v>
      </c>
      <c r="Z22" s="718">
        <f>G22-J22</f>
        <v>0</v>
      </c>
      <c r="AA22" s="708"/>
      <c r="AB22" s="753">
        <f t="shared" si="13"/>
        <v>172.07400000000001</v>
      </c>
      <c r="AC22" s="708"/>
      <c r="AD22" s="770">
        <f t="shared" si="14"/>
        <v>61.454999999999998</v>
      </c>
      <c r="AE22" s="708"/>
      <c r="AF22" s="1073"/>
      <c r="AG22" s="796">
        <f>AF21*1.7%</f>
        <v>1480.5840599999999</v>
      </c>
      <c r="AH22" s="796">
        <f>AF21*23.8%</f>
        <v>20728.17684</v>
      </c>
      <c r="AI22" s="796">
        <f>AF21*8.5%</f>
        <v>7402.9202999999998</v>
      </c>
      <c r="AJ22" s="797">
        <f>AG22+AH22+AI22</f>
        <v>29611.681199999999</v>
      </c>
      <c r="AK22" s="796">
        <f>AF21+AG22+AH22+AI22</f>
        <v>116704.86119999998</v>
      </c>
      <c r="AL22" s="3"/>
      <c r="AM22" s="3"/>
    </row>
    <row r="23" spans="1:39" s="702" customFormat="1">
      <c r="A23" s="771"/>
      <c r="B23" s="772"/>
      <c r="E23" s="27"/>
      <c r="F23" s="773"/>
      <c r="G23" s="734">
        <f>SUM(G20:G22)</f>
        <v>2248</v>
      </c>
      <c r="H23" s="735">
        <f>SUM(H20:H22)</f>
        <v>1124</v>
      </c>
      <c r="I23" s="735">
        <f>SUM(I20:I22)</f>
        <v>1124</v>
      </c>
      <c r="J23" s="735">
        <f>SUM(J20:J22)</f>
        <v>2248</v>
      </c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7"/>
      <c r="X23" s="716"/>
      <c r="Y23" s="774">
        <f>J23-X23</f>
        <v>2248</v>
      </c>
      <c r="Z23" s="775">
        <f>SUM(Z20:Z22)</f>
        <v>0</v>
      </c>
      <c r="AA23" s="740"/>
      <c r="AB23" s="742">
        <f>SUM(AB20:AB22)</f>
        <v>535.024</v>
      </c>
      <c r="AC23" s="743"/>
      <c r="AD23" s="742">
        <f>SUM(AD20:AD22)</f>
        <v>191.07999999999998</v>
      </c>
      <c r="AE23" s="743"/>
      <c r="AF23" s="1073"/>
      <c r="AG23" s="567"/>
      <c r="AH23" s="567"/>
      <c r="AI23" s="567"/>
      <c r="AJ23" s="567"/>
      <c r="AK23" s="567"/>
      <c r="AL23" s="795"/>
      <c r="AM23" s="795"/>
    </row>
    <row r="24" spans="1:39" ht="15.75">
      <c r="A24" s="771"/>
      <c r="B24" s="776"/>
      <c r="F24" s="777"/>
      <c r="H24" s="778"/>
      <c r="W24" s="736"/>
      <c r="X24" s="737"/>
      <c r="Y24" s="763"/>
      <c r="Z24" s="767"/>
      <c r="AA24" s="708"/>
      <c r="AB24" s="708"/>
      <c r="AC24" s="708"/>
      <c r="AD24" s="708"/>
      <c r="AE24" s="708"/>
      <c r="AF24" s="1073"/>
      <c r="AG24" s="600"/>
      <c r="AH24" s="600"/>
      <c r="AI24" s="600"/>
      <c r="AJ24" s="600"/>
      <c r="AK24" s="600"/>
      <c r="AL24" s="3"/>
      <c r="AM24" s="3"/>
    </row>
    <row r="25" spans="1:39">
      <c r="A25" s="1073" t="s">
        <v>651</v>
      </c>
      <c r="B25" s="711" t="s">
        <v>652</v>
      </c>
      <c r="C25" s="629" t="s">
        <v>653</v>
      </c>
      <c r="D25" s="712"/>
      <c r="E25" s="713">
        <v>1493.79</v>
      </c>
      <c r="F25" s="714">
        <f>E25-G25</f>
        <v>493.78999999999996</v>
      </c>
      <c r="G25" s="725">
        <v>1000</v>
      </c>
      <c r="H25" s="715">
        <v>300</v>
      </c>
      <c r="I25" s="715">
        <v>700</v>
      </c>
      <c r="J25" s="715">
        <f>H25+I25</f>
        <v>1000</v>
      </c>
      <c r="K25" s="716"/>
      <c r="L25" s="716"/>
      <c r="M25" s="716"/>
      <c r="N25" s="716"/>
      <c r="O25" s="716"/>
      <c r="P25" s="716"/>
      <c r="Q25" s="716"/>
      <c r="R25" s="716"/>
      <c r="S25" s="716"/>
      <c r="T25" s="716"/>
      <c r="U25" s="716"/>
      <c r="V25" s="716"/>
      <c r="W25" s="716">
        <f t="shared" ref="W25:W27" si="24">K25+L25+M25+N25+O25+P25+Q25+R25+S25</f>
        <v>0</v>
      </c>
      <c r="X25" s="716">
        <f t="shared" ref="X25:X27" si="25">K25+L25+M25+N25+O25+P25+Q25+R25+S25+T25</f>
        <v>0</v>
      </c>
      <c r="Y25" s="717">
        <f t="shared" ref="Y25:Y27" si="26">J25-X25</f>
        <v>1000</v>
      </c>
      <c r="Z25" s="718">
        <f>G25-J25</f>
        <v>0</v>
      </c>
      <c r="AA25" s="708"/>
      <c r="AB25" s="719">
        <f>J25*23.8/100</f>
        <v>238</v>
      </c>
      <c r="AC25" s="708"/>
      <c r="AD25" s="719">
        <f>J25*8.5/100</f>
        <v>85</v>
      </c>
      <c r="AE25" s="708"/>
      <c r="AF25" s="757"/>
      <c r="AG25" s="567"/>
      <c r="AH25" s="567"/>
      <c r="AI25" s="567"/>
      <c r="AJ25" s="798"/>
      <c r="AK25" s="567"/>
      <c r="AL25" s="3"/>
      <c r="AM25" s="3"/>
    </row>
    <row r="26" spans="1:39" ht="30">
      <c r="A26" s="1074"/>
      <c r="B26" s="711" t="s">
        <v>654</v>
      </c>
      <c r="C26" s="629" t="s">
        <v>655</v>
      </c>
      <c r="D26" s="712"/>
      <c r="E26" s="713">
        <v>124.57</v>
      </c>
      <c r="F26" s="714">
        <f>E26-G26</f>
        <v>24.569999999999993</v>
      </c>
      <c r="G26" s="725">
        <v>100</v>
      </c>
      <c r="H26" s="715">
        <v>50</v>
      </c>
      <c r="I26" s="715">
        <v>50</v>
      </c>
      <c r="J26" s="715">
        <f>H26+I26</f>
        <v>100</v>
      </c>
      <c r="K26" s="755"/>
      <c r="L26" s="755"/>
      <c r="M26" s="755"/>
      <c r="N26" s="716"/>
      <c r="O26" s="716"/>
      <c r="P26" s="755"/>
      <c r="Q26" s="716"/>
      <c r="R26" s="755"/>
      <c r="S26" s="755"/>
      <c r="T26" s="755"/>
      <c r="U26" s="755"/>
      <c r="V26" s="755"/>
      <c r="W26" s="716">
        <f t="shared" si="24"/>
        <v>0</v>
      </c>
      <c r="X26" s="716">
        <f t="shared" si="25"/>
        <v>0</v>
      </c>
      <c r="Y26" s="717">
        <f t="shared" si="26"/>
        <v>100</v>
      </c>
      <c r="Z26" s="718">
        <f>G26-J26</f>
        <v>0</v>
      </c>
      <c r="AA26" s="708"/>
      <c r="AB26" s="719">
        <f t="shared" ref="AB26:AB27" si="27">J26*23.8/100</f>
        <v>23.8</v>
      </c>
      <c r="AC26" s="708"/>
      <c r="AD26" s="719"/>
      <c r="AE26" s="708"/>
      <c r="AF26" s="781" t="s">
        <v>656</v>
      </c>
      <c r="AG26" s="793" t="s">
        <v>667</v>
      </c>
      <c r="AH26" s="793" t="s">
        <v>665</v>
      </c>
      <c r="AI26" s="793" t="s">
        <v>666</v>
      </c>
      <c r="AJ26" s="799"/>
      <c r="AK26" s="800"/>
      <c r="AL26" s="3"/>
      <c r="AM26" s="3"/>
    </row>
    <row r="27" spans="1:39">
      <c r="A27" s="1074"/>
      <c r="B27" s="711" t="s">
        <v>657</v>
      </c>
      <c r="C27" s="629" t="s">
        <v>658</v>
      </c>
      <c r="D27" s="712"/>
      <c r="E27" s="713">
        <v>1119.75</v>
      </c>
      <c r="F27" s="714">
        <f>E27-G27</f>
        <v>519.75</v>
      </c>
      <c r="G27" s="725">
        <v>600</v>
      </c>
      <c r="H27" s="715">
        <v>300</v>
      </c>
      <c r="I27" s="715">
        <v>300</v>
      </c>
      <c r="J27" s="715">
        <f>H27+I27</f>
        <v>600</v>
      </c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55"/>
      <c r="V27" s="755"/>
      <c r="W27" s="716">
        <f t="shared" si="24"/>
        <v>0</v>
      </c>
      <c r="X27" s="716">
        <f t="shared" si="25"/>
        <v>0</v>
      </c>
      <c r="Y27" s="717">
        <f t="shared" si="26"/>
        <v>600</v>
      </c>
      <c r="Z27" s="718">
        <f>G27-J27</f>
        <v>0</v>
      </c>
      <c r="AA27" s="708"/>
      <c r="AB27" s="719">
        <f t="shared" si="27"/>
        <v>142.80000000000001</v>
      </c>
      <c r="AC27" s="708"/>
      <c r="AD27" s="719">
        <f t="shared" ref="AD27" si="28">J27*8.5/100</f>
        <v>51</v>
      </c>
      <c r="AE27" s="708"/>
      <c r="AF27" s="783">
        <v>283314.86</v>
      </c>
      <c r="AG27" s="794">
        <v>-155794.68</v>
      </c>
      <c r="AH27" s="794">
        <v>-40427</v>
      </c>
      <c r="AI27" s="794">
        <f>SUM(AF27:AH27)</f>
        <v>87093.18</v>
      </c>
      <c r="AJ27" s="801"/>
      <c r="AK27" s="801"/>
      <c r="AL27" s="3"/>
      <c r="AM27" s="3"/>
    </row>
    <row r="28" spans="1:39" s="702" customFormat="1">
      <c r="E28" s="27"/>
      <c r="F28" s="773"/>
      <c r="G28" s="734">
        <f>SUM(G25:G27)</f>
        <v>1700</v>
      </c>
      <c r="H28" s="735">
        <f>SUM(H25:H27)</f>
        <v>650</v>
      </c>
      <c r="I28" s="735">
        <f>SUM(I25:I27)</f>
        <v>1050</v>
      </c>
      <c r="J28" s="735">
        <f>SUM(J25:J27)</f>
        <v>1700</v>
      </c>
      <c r="K28" s="736"/>
      <c r="L28" s="736"/>
      <c r="M28" s="736"/>
      <c r="N28" s="736"/>
      <c r="O28" s="736"/>
      <c r="P28" s="736"/>
      <c r="Q28" s="736"/>
      <c r="R28" s="736"/>
      <c r="S28" s="736"/>
      <c r="T28" s="736"/>
      <c r="U28" s="736"/>
      <c r="V28" s="736"/>
      <c r="W28" s="737"/>
      <c r="X28" s="716"/>
      <c r="Y28" s="728">
        <f>SUM(Y25:Y27)</f>
        <v>1700</v>
      </c>
      <c r="Z28" s="775">
        <f>SUM(Z25:Z27)</f>
        <v>0</v>
      </c>
      <c r="AA28" s="743"/>
      <c r="AB28" s="742">
        <f>SUM(AB25:AB27)</f>
        <v>404.6</v>
      </c>
      <c r="AC28" s="743"/>
      <c r="AD28" s="742">
        <f>SUM(AD25:AD27)</f>
        <v>136</v>
      </c>
      <c r="AE28" s="743"/>
      <c r="AF28" s="757"/>
      <c r="AJ28" s="731"/>
      <c r="AK28" s="731"/>
    </row>
    <row r="29" spans="1:39">
      <c r="E29" s="784"/>
      <c r="F29" s="777"/>
      <c r="H29" s="778"/>
      <c r="W29" s="736"/>
      <c r="X29" s="737"/>
      <c r="Y29" s="763"/>
      <c r="Z29" s="767"/>
      <c r="AC29" s="708"/>
      <c r="AD29" s="708"/>
      <c r="AE29" s="708"/>
      <c r="AF29" s="757"/>
      <c r="AG29">
        <f>119634.46+38503.7-3421.41</f>
        <v>154716.75</v>
      </c>
      <c r="AJ29" s="767"/>
      <c r="AK29" s="409"/>
    </row>
    <row r="30" spans="1:39" s="702" customFormat="1">
      <c r="B30" s="702" t="s">
        <v>92</v>
      </c>
      <c r="E30" s="734">
        <f>SUM(E3:E27)</f>
        <v>27236.090000000004</v>
      </c>
      <c r="F30" s="785">
        <f>SUM(F3:F27)</f>
        <v>7485.0900000000011</v>
      </c>
      <c r="G30" s="734">
        <f>G8+G12+G14+G16+G18+G23+G28</f>
        <v>19751</v>
      </c>
      <c r="H30" s="734">
        <f>H8+H12+H14+H16+H18+H23+H28</f>
        <v>9800.5</v>
      </c>
      <c r="I30" s="735">
        <f>I8+I12+I14+I16+I18+I23+I28</f>
        <v>9950.5</v>
      </c>
      <c r="J30" s="735">
        <f>J8+J12+J14+J16+J18+J23+J28</f>
        <v>19751</v>
      </c>
      <c r="K30" s="734" t="e">
        <f>K8+K11+#REF!+#REF!+#REF!+#REF!+K23+K28</f>
        <v>#REF!</v>
      </c>
      <c r="L30" s="755">
        <f t="shared" ref="L30:V30" si="29">SUM(L3:L27)</f>
        <v>0</v>
      </c>
      <c r="M30" s="755">
        <f t="shared" si="29"/>
        <v>0</v>
      </c>
      <c r="N30" s="755">
        <f t="shared" si="29"/>
        <v>0</v>
      </c>
      <c r="O30" s="755">
        <f t="shared" si="29"/>
        <v>0</v>
      </c>
      <c r="P30" s="755">
        <f t="shared" si="29"/>
        <v>0</v>
      </c>
      <c r="Q30" s="755">
        <f t="shared" si="29"/>
        <v>0</v>
      </c>
      <c r="R30" s="755">
        <f t="shared" si="29"/>
        <v>0</v>
      </c>
      <c r="S30" s="755">
        <f t="shared" si="29"/>
        <v>0</v>
      </c>
      <c r="T30" s="755">
        <f t="shared" si="29"/>
        <v>0</v>
      </c>
      <c r="U30" s="755">
        <f t="shared" si="29"/>
        <v>0</v>
      </c>
      <c r="V30" s="755">
        <f t="shared" si="29"/>
        <v>0</v>
      </c>
      <c r="W30" s="716" t="e">
        <f t="shared" ref="W30" si="30">K30+L30+M30+N30+O30+P30+Q30+R30+S30</f>
        <v>#REF!</v>
      </c>
      <c r="X30" s="716" t="e">
        <f t="shared" ref="X30" si="31">K30+L30+M30+N30+O30+P30+Q30+R30+S30+T30</f>
        <v>#REF!</v>
      </c>
      <c r="Y30" s="717" t="e">
        <f>J30-X30</f>
        <v>#REF!</v>
      </c>
      <c r="Z30" s="786" t="e">
        <f>Z8+#REF!+#REF!+#REF!+#REF!+Z23+Z28</f>
        <v>#REF!</v>
      </c>
      <c r="AA30" s="29"/>
      <c r="AB30" s="783">
        <f>AB28+AB23+AB18+AB16+AB14+AB12+AB8</f>
        <v>4700.7380000000003</v>
      </c>
      <c r="AC30" s="740"/>
      <c r="AD30" s="742">
        <f>AD28+AD23+AD18+AD16+AD14+AD12+AD8</f>
        <v>1670.335</v>
      </c>
      <c r="AE30" s="743"/>
      <c r="AF30" s="757"/>
      <c r="AG30" s="29"/>
    </row>
    <row r="31" spans="1:39">
      <c r="Y31" s="780"/>
      <c r="AA31" s="28"/>
      <c r="AJ31" s="28"/>
      <c r="AK31" s="28">
        <f>AD30+AM3+AM9+AM12+AI22</f>
        <v>11213.300299999999</v>
      </c>
      <c r="AL31" s="552">
        <f>'RIEPILOGO BILANCIO 2020'!I21</f>
        <v>141892</v>
      </c>
    </row>
    <row r="32" spans="1:39">
      <c r="AG32" s="28">
        <f>AF27-AG29</f>
        <v>128598.10999999999</v>
      </c>
    </row>
  </sheetData>
  <mergeCells count="11">
    <mergeCell ref="A20:A22"/>
    <mergeCell ref="AF21:AF24"/>
    <mergeCell ref="A25:A27"/>
    <mergeCell ref="A1:B1"/>
    <mergeCell ref="AF1:AM1"/>
    <mergeCell ref="A3:A7"/>
    <mergeCell ref="C3:C5"/>
    <mergeCell ref="G3:G5"/>
    <mergeCell ref="AF7:AM7"/>
    <mergeCell ref="AG20:AH20"/>
    <mergeCell ref="AG19:AK19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PREV2020 </vt:lpstr>
      <vt:lpstr>2020</vt:lpstr>
      <vt:lpstr>Facolass.20</vt:lpstr>
      <vt:lpstr>IMPORT. ARRETR. CCNL 21-05-IP1</vt:lpstr>
      <vt:lpstr>CALCOLO VAC. E PEREQ 2020</vt:lpstr>
      <vt:lpstr>RIEPILOGO BILANCIO 2020</vt:lpstr>
      <vt:lpstr>FES IPOTESI 2020</vt:lpstr>
      <vt:lpstr>'2020'!Area_stampa</vt:lpstr>
      <vt:lpstr>Facolass.20!Area_stampa</vt:lpstr>
      <vt:lpstr>'PREV2020 '!Area_stampa</vt:lpstr>
      <vt:lpstr>'PREV2020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</dc:creator>
  <cp:lastModifiedBy>Rizzi Sonia</cp:lastModifiedBy>
  <cp:lastPrinted>2020-04-09T11:58:09Z</cp:lastPrinted>
  <dcterms:created xsi:type="dcterms:W3CDTF">2018-01-15T11:54:51Z</dcterms:created>
  <dcterms:modified xsi:type="dcterms:W3CDTF">2020-04-09T12:00:29Z</dcterms:modified>
</cp:coreProperties>
</file>